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Gas\Projekte und Fachthemen\02_Netzzugang Fernleitungsnetz NZ-FN\Kosten- und Tarifmethode\Implementierung TAR NC\"/>
    </mc:Choice>
  </mc:AlternateContent>
  <xr:revisionPtr revIDLastSave="0" documentId="13_ncr:1_{D2C82A15-73A2-44A6-806D-B235C28095F5}" xr6:coauthVersionLast="41" xr6:coauthVersionMax="44" xr10:uidLastSave="{00000000-0000-0000-0000-000000000000}"/>
  <workbookProtection workbookAlgorithmName="SHA-512" workbookHashValue="7gDxPD20s5X56v8dERpnGItOHiywuM6bFkyl4YwT3ekgL9mzqp7w2kzelMtUiNh6RkNnkZDGUjY7f2XFXbX8ew==" workbookSaltValue="dR0avZQc90PXr5f10bzSFg==" workbookSpinCount="100000" lockStructure="1"/>
  <bookViews>
    <workbookView xWindow="-120" yWindow="-120" windowWidth="29040" windowHeight="15840" tabRatio="873" xr2:uid="{00000000-000D-0000-FFFF-FFFF00000000}"/>
  </bookViews>
  <sheets>
    <sheet name="Reference price simulation" sheetId="52" r:id="rId1"/>
    <sheet name="Input&gt;" sheetId="53" r:id="rId2"/>
    <sheet name="Overview" sheetId="1" state="hidden" r:id="rId3"/>
    <sheet name="Calc&gt;Tariffs" sheetId="7" state="hidden" r:id="rId4"/>
    <sheet name="VTPB" sheetId="2" state="hidden" r:id="rId5"/>
    <sheet name="VTPB_NICT" sheetId="16" state="hidden" r:id="rId6"/>
    <sheet name="CAA" sheetId="23" state="hidden" r:id="rId7"/>
    <sheet name="CAA CWD" sheetId="50" state="hidden" r:id="rId8"/>
    <sheet name="Benchmark Murfeld" sheetId="38" state="hidden" r:id="rId9"/>
    <sheet name="Parameters&gt;" sheetId="6" state="hidden" r:id="rId10"/>
    <sheet name="Costs" sheetId="54" r:id="rId11"/>
    <sheet name="Costscalc" sheetId="12" state="hidden" r:id="rId12"/>
    <sheet name="Forecasted contracted capacity" sheetId="55" r:id="rId13"/>
    <sheet name="Forecasts" sheetId="13" state="hidden" r:id="rId14"/>
    <sheet name="Reference VO 2017" sheetId="11" state="hidden" r:id="rId15"/>
    <sheet name="Distances" sheetId="24" state="hidden" r:id="rId16"/>
    <sheet name="Calc CWD&gt;" sheetId="42" state="hidden" r:id="rId17"/>
    <sheet name="CWD Weights" sheetId="34" state="hidden" r:id="rId18"/>
    <sheet name="CWD Tariffs" sheetId="35" state="hidden" r:id="rId19"/>
    <sheet name="Capacities ConsultationDoc" sheetId="51" state="hidden" r:id="rId20"/>
  </sheets>
  <externalReferences>
    <externalReference r:id="rId21"/>
  </externalReferences>
  <definedNames>
    <definedName name="_xlnm._FilterDatabase" localSheetId="13" hidden="1">Forecasts!$A$4:$F$34</definedName>
    <definedName name="_xlnm._FilterDatabase" localSheetId="14" hidden="1">'Reference VO 2017'!$A$4:$G$34</definedName>
    <definedName name="_xlnm._FilterDatabase" localSheetId="4" hidden="1">VTPB!$A$1:$D$3</definedName>
    <definedName name="AC_total">'[1]Cover, Parameters'!$E$43</definedName>
    <definedName name="base_tariff_entry" localSheetId="16">VTPB!#REF!</definedName>
    <definedName name="base_tariff_entry">VTPB!#REF!</definedName>
    <definedName name="base_tariff_entry_comm" localSheetId="5">VTPB_NICT!$C$26</definedName>
    <definedName name="base_tariff_exit" localSheetId="16">VTPB!#REF!</definedName>
    <definedName name="base_tariff_exit">VTPB!#REF!</definedName>
    <definedName name="base_tariff_exit_comm" localSheetId="5">VTPB_NICT!$C$72</definedName>
    <definedName name="benchmark_m">Overview!$C$10</definedName>
    <definedName name="benchmark_moso" localSheetId="16">Overview!#REF!</definedName>
    <definedName name="benchmark_moso">Overview!#REF!</definedName>
    <definedName name="CAA_forecasted" localSheetId="7">'CAA CWD'!$B$3</definedName>
    <definedName name="CAA_forecasted">Overview!$C$12</definedName>
    <definedName name="costs_capacity">VTPB!$C$3</definedName>
    <definedName name="costs_commodity" localSheetId="5">VTPB_NICT!$C$3</definedName>
    <definedName name="costs_exit">[1]VTPB!$C$36</definedName>
    <definedName name="costs_GCA">Overview!$C$17</definedName>
    <definedName name="costs_GCA_var">Overview!$C$18</definedName>
    <definedName name="costs_TAG">Overview!$C$19</definedName>
    <definedName name="costs_TAG_var">Overview!$C$20</definedName>
    <definedName name="CT_apply">Overview!#REF!</definedName>
    <definedName name="CT_costshare" localSheetId="16">Overview!#REF!</definedName>
    <definedName name="CT_costshare">Overview!#REF!</definedName>
    <definedName name="CT_entry" localSheetId="16">#REF!</definedName>
    <definedName name="CT_entry">#REF!</definedName>
    <definedName name="CT_entry_costshare" localSheetId="16">Overview!#REF!</definedName>
    <definedName name="CT_entry_costshare">Overview!#REF!</definedName>
    <definedName name="CT_entry_flat" localSheetId="16">#REF!</definedName>
    <definedName name="CT_entry_flat">#REF!</definedName>
    <definedName name="CT_exit" localSheetId="16">#REF!</definedName>
    <definedName name="CT_exit">#REF!</definedName>
    <definedName name="CT_exit_flat" localSheetId="16">#REF!</definedName>
    <definedName name="CT_exit_flat">#REF!</definedName>
    <definedName name="CT_included">Overview!#REF!</definedName>
    <definedName name="CWD_DZK">Overview!$K$2</definedName>
    <definedName name="diff_MuMo_act">Overview!#REF!</definedName>
    <definedName name="diff_MuMo_plan">Overview!#REF!</definedName>
    <definedName name="discount_DZK">Overview!$C$5</definedName>
    <definedName name="discount_storage_entry">Overview!$C$6</definedName>
    <definedName name="discount_storage_exit">Overview!$C$7</definedName>
    <definedName name="EX_split_entry_theor">VTPB!$C$24</definedName>
    <definedName name="EX_split_entry_theor_comm" localSheetId="5">VTPB_NICT!$C$24</definedName>
    <definedName name="GCV">Overview!$C$4</definedName>
    <definedName name="ITC_cap">#REF!</definedName>
    <definedName name="ITC_cap_GCA">#REF!</definedName>
    <definedName name="ITC_cap_TAG">#REF!</definedName>
    <definedName name="ITC_from_GCA" localSheetId="16">#REF!</definedName>
    <definedName name="ITC_from_GCA">#REF!</definedName>
    <definedName name="ITC_from_TAG" localSheetId="16">#REF!</definedName>
    <definedName name="ITC_from_TAG">#REF!</definedName>
    <definedName name="ITC_rescaling_required">#REF!</definedName>
    <definedName name="keep_constant" localSheetId="16">Overview!#REF!</definedName>
    <definedName name="keep_constant">Overview!#REF!</definedName>
    <definedName name="manual_split" localSheetId="16">Overview!#REF!</definedName>
    <definedName name="manual_split">Overview!#REF!</definedName>
    <definedName name="max_decrease" localSheetId="16">Overview!#REF!</definedName>
    <definedName name="max_decrease">Overview!#REF!</definedName>
    <definedName name="max_decrease_m" localSheetId="16">Overview!#REF!</definedName>
    <definedName name="max_decrease_m">Overview!#REF!</definedName>
    <definedName name="max_increase">Overview!$C$9</definedName>
    <definedName name="max_increase_BgmT" localSheetId="16">Overview!#REF!</definedName>
    <definedName name="max_increase_BgmT">Overview!#REF!</definedName>
    <definedName name="max_increase_stor" localSheetId="16">Overview!#REF!</definedName>
    <definedName name="max_increase_stor">Overview!#REF!</definedName>
    <definedName name="max_increaseBgmT" localSheetId="16">Overview!#REF!</definedName>
    <definedName name="max_increaseBgmT">Overview!#REF!</definedName>
    <definedName name="NIC_distance">Overview!$C$11</definedName>
    <definedName name="rescaling_entry" localSheetId="16">VTPB!#REF!</definedName>
    <definedName name="rescaling_entry">VTPB!#REF!</definedName>
    <definedName name="rescaling_entry_comm" localSheetId="5">VTPB_NICT!$C$27</definedName>
    <definedName name="rescaling_exit" localSheetId="16">VTPB!#REF!</definedName>
    <definedName name="rescaling_exit">VTPB!#REF!</definedName>
    <definedName name="rescaling_exit_comm" localSheetId="5">VTPB_NICT!$C$73</definedName>
    <definedName name="scenario_BMGTex">Overview!#REF!</definedName>
    <definedName name="scenario_costs" localSheetId="16">Overview!#REF!</definedName>
    <definedName name="scenario_costs">Overview!#REF!</definedName>
    <definedName name="scenario_flows" localSheetId="16">Overview!#REF!</definedName>
    <definedName name="scenario_flows">Overview!#REF!</definedName>
    <definedName name="scenario_refvol" localSheetId="16">Overview!#REF!</definedName>
    <definedName name="scenario_refvol">Overview!#REF!</definedName>
    <definedName name="scenario_tariffs" localSheetId="16">Overview!#REF!</definedName>
    <definedName name="scenario_tariffs">Overview!#REF!</definedName>
    <definedName name="solver_adj" localSheetId="2" hidden="1">Overview!$C$10</definedName>
    <definedName name="Solver_Condition">#REF!</definedName>
    <definedName name="solver_cvg" localSheetId="2" hidden="1">0.0001</definedName>
    <definedName name="Solver_Debug">#REF!</definedName>
    <definedName name="solver_drv" localSheetId="2" hidden="1">2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Overview!#REF!</definedName>
    <definedName name="Solver_Params">#REF!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run">Costscalc!#REF!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0.993959579821011</definedName>
    <definedName name="solver_ver" localSheetId="2" hidden="1">3</definedName>
    <definedName name="SolverVar1">#REF!</definedName>
    <definedName name="SolverVar10">#REF!</definedName>
    <definedName name="SolverVar11">#REF!</definedName>
    <definedName name="SolverVar2">#REF!</definedName>
    <definedName name="SolverVar3">#REF!</definedName>
    <definedName name="SolverVar4">#REF!</definedName>
    <definedName name="SolverVar5">#REF!</definedName>
    <definedName name="SolverVar6">#REF!</definedName>
    <definedName name="SolverVar7">#REF!</definedName>
    <definedName name="SolverVar8">#REF!</definedName>
    <definedName name="SolverVar9">#REF!</definedName>
    <definedName name="SolverVarBase">#REF!</definedName>
    <definedName name="VG_discount">Overview!$C$8</definedName>
    <definedName name="VG_discount_entry">Overview!$C$7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3" l="1"/>
  <c r="F6" i="13" l="1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C8" i="12"/>
  <c r="C7" i="12"/>
  <c r="C4" i="12"/>
  <c r="C3" i="12"/>
  <c r="C7" i="54"/>
  <c r="C4" i="54"/>
  <c r="G27" i="52"/>
  <c r="G28" i="52"/>
  <c r="G30" i="52"/>
  <c r="G31" i="52"/>
  <c r="D56" i="16" l="1"/>
  <c r="D55" i="16"/>
  <c r="D54" i="16"/>
  <c r="D53" i="16"/>
  <c r="D52" i="16"/>
  <c r="D51" i="16"/>
  <c r="D50" i="16"/>
  <c r="D49" i="16"/>
  <c r="D48" i="16"/>
  <c r="D10" i="16"/>
  <c r="D9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2" i="16"/>
  <c r="D17" i="16"/>
  <c r="D16" i="16"/>
  <c r="D15" i="16"/>
  <c r="D14" i="16"/>
  <c r="D13" i="16"/>
  <c r="D12" i="16"/>
  <c r="D11" i="16"/>
  <c r="C6" i="12"/>
  <c r="C2" i="12"/>
  <c r="C5" i="1" l="1"/>
  <c r="C18" i="1"/>
  <c r="C20" i="1"/>
  <c r="H9" i="1" l="1"/>
  <c r="D9" i="52" s="1"/>
  <c r="H10" i="1"/>
  <c r="D10" i="52" s="1"/>
  <c r="H11" i="1"/>
  <c r="D11" i="52" s="1"/>
  <c r="H12" i="1"/>
  <c r="D12" i="52" s="1"/>
  <c r="H13" i="1"/>
  <c r="D13" i="52" s="1"/>
  <c r="H14" i="1"/>
  <c r="D14" i="52" s="1"/>
  <c r="H15" i="1"/>
  <c r="D15" i="52" s="1"/>
  <c r="H16" i="1"/>
  <c r="D16" i="52" s="1"/>
  <c r="H17" i="1"/>
  <c r="D17" i="52" s="1"/>
  <c r="H18" i="1"/>
  <c r="H19" i="1"/>
  <c r="D19" i="52" s="1"/>
  <c r="H20" i="1"/>
  <c r="D20" i="52" s="1"/>
  <c r="H21" i="1"/>
  <c r="D21" i="52" s="1"/>
  <c r="H22" i="1"/>
  <c r="D22" i="52" s="1"/>
  <c r="H24" i="1"/>
  <c r="D24" i="52" s="1"/>
  <c r="H25" i="1"/>
  <c r="D25" i="52" s="1"/>
  <c r="H26" i="1"/>
  <c r="D26" i="52" s="1"/>
  <c r="H27" i="1"/>
  <c r="H28" i="1"/>
  <c r="H29" i="1"/>
  <c r="D29" i="52" s="1"/>
  <c r="H30" i="1"/>
  <c r="D30" i="52" s="1"/>
  <c r="H31" i="1"/>
  <c r="D31" i="52" s="1"/>
  <c r="H32" i="1"/>
  <c r="D32" i="52" s="1"/>
  <c r="H46" i="1"/>
  <c r="D39" i="52" s="1"/>
  <c r="H47" i="1"/>
  <c r="D40" i="52" s="1"/>
  <c r="P47" i="1"/>
  <c r="H48" i="1"/>
  <c r="D41" i="52" s="1"/>
  <c r="H49" i="1"/>
  <c r="D42" i="52" s="1"/>
  <c r="H50" i="1"/>
  <c r="D43" i="52" s="1"/>
  <c r="H51" i="1"/>
  <c r="D44" i="52" s="1"/>
  <c r="L28" i="1" l="1"/>
  <c r="D28" i="52"/>
  <c r="L27" i="1"/>
  <c r="D27" i="52"/>
  <c r="D18" i="52"/>
  <c r="G27" i="1"/>
  <c r="C27" i="52" s="1"/>
  <c r="G28" i="1"/>
  <c r="C28" i="52" s="1"/>
  <c r="I28" i="1" l="1"/>
  <c r="E28" i="52" s="1"/>
  <c r="J28" i="1"/>
  <c r="F28" i="52" s="1"/>
  <c r="O28" i="1"/>
  <c r="J27" i="1"/>
  <c r="F27" i="52" s="1"/>
  <c r="O27" i="1"/>
  <c r="I27" i="1"/>
  <c r="E27" i="52" s="1"/>
  <c r="P9" i="1" l="1"/>
  <c r="C17" i="1"/>
  <c r="Q4" i="1" s="1"/>
  <c r="C19" i="1"/>
  <c r="C16" i="1" l="1"/>
  <c r="D50" i="52" s="1"/>
  <c r="Q41" i="1"/>
  <c r="M14" i="11" l="1"/>
  <c r="L13" i="51" l="1"/>
  <c r="L10" i="51"/>
  <c r="K14" i="51"/>
  <c r="K12" i="51"/>
  <c r="K11" i="51"/>
  <c r="K10" i="51"/>
  <c r="K8" i="51"/>
  <c r="K6" i="51"/>
  <c r="K5" i="51"/>
  <c r="K4" i="51"/>
  <c r="D7" i="51"/>
  <c r="D4" i="51"/>
  <c r="C13" i="51"/>
  <c r="C9" i="51"/>
  <c r="C8" i="51"/>
  <c r="C7" i="51"/>
  <c r="C6" i="51"/>
  <c r="C5" i="51"/>
  <c r="B13" i="51"/>
  <c r="B8" i="51"/>
  <c r="B7" i="51"/>
  <c r="B6" i="51"/>
  <c r="B5" i="51"/>
  <c r="B4" i="51"/>
  <c r="H16" i="11" l="1"/>
  <c r="F16" i="11" s="1"/>
  <c r="M20" i="1" s="1"/>
  <c r="S20" i="1" s="1"/>
  <c r="F6" i="11"/>
  <c r="M10" i="1" s="1"/>
  <c r="S10" i="1" s="1"/>
  <c r="F7" i="11"/>
  <c r="M11" i="1" s="1"/>
  <c r="S11" i="1" s="1"/>
  <c r="F8" i="11"/>
  <c r="M12" i="1" s="1"/>
  <c r="S12" i="1" s="1"/>
  <c r="F9" i="11"/>
  <c r="M13" i="1" s="1"/>
  <c r="S13" i="1" s="1"/>
  <c r="F10" i="11"/>
  <c r="M14" i="1" s="1"/>
  <c r="S14" i="1" s="1"/>
  <c r="F11" i="11"/>
  <c r="M15" i="1" s="1"/>
  <c r="F12" i="11"/>
  <c r="M16" i="1" s="1"/>
  <c r="F13" i="11"/>
  <c r="M17" i="1" s="1"/>
  <c r="F14" i="11"/>
  <c r="M18" i="1" s="1"/>
  <c r="F15" i="11"/>
  <c r="M19" i="1" s="1"/>
  <c r="S19" i="1" s="1"/>
  <c r="F17" i="11"/>
  <c r="M21" i="1" s="1"/>
  <c r="S21" i="1" s="1"/>
  <c r="F18" i="11"/>
  <c r="M22" i="1" s="1"/>
  <c r="S22" i="1" s="1"/>
  <c r="F19" i="11"/>
  <c r="M23" i="1" s="1"/>
  <c r="F20" i="11"/>
  <c r="M24" i="1" s="1"/>
  <c r="S24" i="1" s="1"/>
  <c r="F21" i="11"/>
  <c r="M25" i="1" s="1"/>
  <c r="S25" i="1" s="1"/>
  <c r="F22" i="11"/>
  <c r="M26" i="1" s="1"/>
  <c r="S26" i="1" s="1"/>
  <c r="F23" i="11"/>
  <c r="M27" i="1" s="1"/>
  <c r="F24" i="11"/>
  <c r="M28" i="1" s="1"/>
  <c r="F25" i="11"/>
  <c r="M29" i="1" s="1"/>
  <c r="S29" i="1" s="1"/>
  <c r="F26" i="11"/>
  <c r="M30" i="1" s="1"/>
  <c r="S30" i="1" s="1"/>
  <c r="F27" i="11"/>
  <c r="M31" i="1" s="1"/>
  <c r="S31" i="1" s="1"/>
  <c r="F28" i="11"/>
  <c r="M32" i="1" s="1"/>
  <c r="S32" i="1" s="1"/>
  <c r="F29" i="11"/>
  <c r="M46" i="1" s="1"/>
  <c r="S46" i="1" s="1"/>
  <c r="F30" i="11"/>
  <c r="M47" i="1" s="1"/>
  <c r="S47" i="1" s="1"/>
  <c r="F31" i="11"/>
  <c r="M48" i="1" s="1"/>
  <c r="F32" i="11"/>
  <c r="M49" i="1" s="1"/>
  <c r="S49" i="1" s="1"/>
  <c r="F33" i="11"/>
  <c r="M50" i="1" s="1"/>
  <c r="S50" i="1" s="1"/>
  <c r="F34" i="11"/>
  <c r="M51" i="1" s="1"/>
  <c r="S51" i="1" s="1"/>
  <c r="F5" i="11"/>
  <c r="M9" i="1" s="1"/>
  <c r="S9" i="1" s="1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H42" i="2"/>
  <c r="I42" i="2"/>
  <c r="H43" i="2"/>
  <c r="I43" i="2"/>
  <c r="H44" i="2"/>
  <c r="I44" i="2"/>
  <c r="H45" i="2"/>
  <c r="H46" i="2"/>
  <c r="I46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I32" i="2"/>
  <c r="I10" i="2"/>
  <c r="I11" i="2"/>
  <c r="I12" i="2"/>
  <c r="I13" i="2"/>
  <c r="I14" i="2"/>
  <c r="I15" i="2"/>
  <c r="I16" i="2"/>
  <c r="I17" i="2"/>
  <c r="I18" i="2"/>
  <c r="H11" i="2"/>
  <c r="H12" i="2"/>
  <c r="H13" i="2"/>
  <c r="H14" i="2"/>
  <c r="H15" i="2"/>
  <c r="H16" i="2"/>
  <c r="H17" i="2"/>
  <c r="H18" i="2"/>
  <c r="W21" i="1" l="1"/>
  <c r="W22" i="1"/>
  <c r="W23" i="1" s="1"/>
  <c r="N28" i="1"/>
  <c r="S28" i="1"/>
  <c r="W9" i="1"/>
  <c r="S48" i="1"/>
  <c r="W10" i="1" s="1"/>
  <c r="S27" i="1"/>
  <c r="N27" i="1"/>
  <c r="W33" i="1"/>
  <c r="W34" i="1"/>
  <c r="W35" i="1" s="1"/>
  <c r="S18" i="1"/>
  <c r="W39" i="1"/>
  <c r="W40" i="1"/>
  <c r="S17" i="1"/>
  <c r="S16" i="1"/>
  <c r="W16" i="1" s="1"/>
  <c r="W15" i="1"/>
  <c r="W27" i="1"/>
  <c r="S15" i="1"/>
  <c r="W28" i="1" s="1"/>
  <c r="I6" i="50"/>
  <c r="H9" i="50" s="1"/>
  <c r="M15" i="50"/>
  <c r="W29" i="1" l="1"/>
  <c r="W17" i="1"/>
  <c r="W11" i="1"/>
  <c r="W41" i="1"/>
  <c r="F18" i="38" l="1"/>
  <c r="F8" i="38"/>
  <c r="J4" i="34"/>
  <c r="I4" i="34"/>
  <c r="H4" i="34"/>
  <c r="F4" i="34"/>
  <c r="E4" i="34"/>
  <c r="D4" i="34"/>
  <c r="C13" i="34"/>
  <c r="C12" i="34"/>
  <c r="C11" i="34"/>
  <c r="C10" i="34"/>
  <c r="C9" i="34"/>
  <c r="C8" i="34"/>
  <c r="C7" i="34"/>
  <c r="C6" i="34"/>
  <c r="G13" i="11" l="1"/>
  <c r="G4" i="34" l="1"/>
  <c r="K7" i="51"/>
  <c r="N18" i="2" l="1"/>
  <c r="N18" i="16"/>
  <c r="K18" i="16"/>
  <c r="O31" i="2" l="1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O31" i="2"/>
  <c r="AP31" i="2"/>
  <c r="N31" i="2"/>
  <c r="P28" i="1" l="1"/>
  <c r="Q28" i="1" s="1"/>
  <c r="R28" i="1" s="1"/>
  <c r="T28" i="1" s="1"/>
  <c r="P27" i="1"/>
  <c r="Q27" i="1" s="1"/>
  <c r="R27" i="1" s="1"/>
  <c r="T27" i="1" s="1"/>
  <c r="P25" i="1"/>
  <c r="P22" i="1"/>
  <c r="P19" i="1"/>
  <c r="G16" i="50" l="1"/>
  <c r="G16" i="23"/>
  <c r="I16" i="23"/>
  <c r="I16" i="50"/>
  <c r="P10" i="50"/>
  <c r="P10" i="23"/>
  <c r="P13" i="23"/>
  <c r="P13" i="50"/>
  <c r="J16" i="23"/>
  <c r="J16" i="50"/>
  <c r="P8" i="50"/>
  <c r="P8" i="23"/>
  <c r="P9" i="50"/>
  <c r="P9" i="23"/>
  <c r="P15" i="50"/>
  <c r="P15" i="23"/>
  <c r="P12" i="23"/>
  <c r="P12" i="50"/>
  <c r="P11" i="50"/>
  <c r="P11" i="23"/>
  <c r="E16" i="50"/>
  <c r="E16" i="23"/>
  <c r="P14" i="50"/>
  <c r="P14" i="23"/>
  <c r="F16" i="50"/>
  <c r="F16" i="23"/>
  <c r="M16" i="23"/>
  <c r="M16" i="50"/>
  <c r="P26" i="1"/>
  <c r="P10" i="1"/>
  <c r="P12" i="1"/>
  <c r="P13" i="1"/>
  <c r="P30" i="1"/>
  <c r="P20" i="1"/>
  <c r="P21" i="1"/>
  <c r="P29" i="1"/>
  <c r="E10" i="24"/>
  <c r="P14" i="1"/>
  <c r="P15" i="1"/>
  <c r="P31" i="1"/>
  <c r="P17" i="1"/>
  <c r="E7" i="24"/>
  <c r="P18" i="1"/>
  <c r="P11" i="1"/>
  <c r="P23" i="1"/>
  <c r="P16" i="1"/>
  <c r="P24" i="1"/>
  <c r="E12" i="24"/>
  <c r="P32" i="1"/>
  <c r="E9" i="24"/>
  <c r="E8" i="24"/>
  <c r="I4" i="24"/>
  <c r="H4" i="24"/>
  <c r="E29" i="24"/>
  <c r="E11" i="24"/>
  <c r="E6" i="24"/>
  <c r="E18" i="2"/>
  <c r="K37" i="2" l="1"/>
  <c r="D10" i="2"/>
  <c r="K13" i="16"/>
  <c r="K14" i="16"/>
  <c r="N12" i="16"/>
  <c r="E38" i="16" l="1"/>
  <c r="G3" i="35" l="1"/>
  <c r="L23" i="35"/>
  <c r="L24" i="35"/>
  <c r="L25" i="35"/>
  <c r="L26" i="35"/>
  <c r="L27" i="35"/>
  <c r="L28" i="35"/>
  <c r="L22" i="35"/>
  <c r="L9" i="35"/>
  <c r="L10" i="35"/>
  <c r="F3" i="35"/>
  <c r="I3" i="35"/>
  <c r="M26" i="35" s="1"/>
  <c r="H3" i="35"/>
  <c r="M11" i="35" s="1"/>
  <c r="N11" i="35" s="1"/>
  <c r="B23" i="35"/>
  <c r="H23" i="35" s="1"/>
  <c r="B24" i="35"/>
  <c r="H24" i="35" s="1"/>
  <c r="B25" i="35"/>
  <c r="H25" i="35" s="1"/>
  <c r="B26" i="35"/>
  <c r="H26" i="35" s="1"/>
  <c r="B27" i="35"/>
  <c r="H27" i="35" s="1"/>
  <c r="B28" i="35"/>
  <c r="H28" i="35" s="1"/>
  <c r="B22" i="35"/>
  <c r="H22" i="35" s="1"/>
  <c r="F5" i="34"/>
  <c r="G8" i="34"/>
  <c r="B6" i="34"/>
  <c r="B7" i="34"/>
  <c r="B8" i="34"/>
  <c r="B9" i="34"/>
  <c r="B10" i="34"/>
  <c r="B11" i="34"/>
  <c r="B12" i="34"/>
  <c r="B13" i="34"/>
  <c r="B5" i="34"/>
  <c r="E3" i="34"/>
  <c r="F3" i="34"/>
  <c r="G3" i="34"/>
  <c r="H3" i="34"/>
  <c r="I3" i="34"/>
  <c r="J3" i="34"/>
  <c r="D3" i="34"/>
  <c r="G5" i="13" l="1"/>
  <c r="L16" i="23" l="1"/>
  <c r="L16" i="50"/>
  <c r="P7" i="23"/>
  <c r="P7" i="50"/>
  <c r="P6" i="50"/>
  <c r="P6" i="23"/>
  <c r="K16" i="23"/>
  <c r="K16" i="50"/>
  <c r="H16" i="50"/>
  <c r="H16" i="23"/>
  <c r="P46" i="1"/>
  <c r="P50" i="1"/>
  <c r="P51" i="1"/>
  <c r="P49" i="1"/>
  <c r="P48" i="1"/>
  <c r="E20" i="24"/>
  <c r="E15" i="24"/>
  <c r="E14" i="24"/>
  <c r="E23" i="24"/>
  <c r="E18" i="24"/>
  <c r="E24" i="24"/>
  <c r="E19" i="24"/>
  <c r="E21" i="24"/>
  <c r="E17" i="24"/>
  <c r="E16" i="24"/>
  <c r="E22" i="24"/>
  <c r="E13" i="24"/>
  <c r="E5" i="24"/>
  <c r="G4" i="24"/>
  <c r="E25" i="24"/>
  <c r="E26" i="24"/>
  <c r="E27" i="24"/>
  <c r="E28" i="24"/>
  <c r="R6" i="23" l="1"/>
  <c r="Q6" i="23" s="1"/>
  <c r="R7" i="50"/>
  <c r="Q7" i="50" s="1"/>
  <c r="R6" i="50"/>
  <c r="R11" i="50"/>
  <c r="Q11" i="50" s="1"/>
  <c r="R15" i="50"/>
  <c r="Q15" i="50" s="1"/>
  <c r="R14" i="50"/>
  <c r="Q14" i="50" s="1"/>
  <c r="R13" i="50"/>
  <c r="Q13" i="50" s="1"/>
  <c r="R10" i="50"/>
  <c r="Q10" i="50" s="1"/>
  <c r="R9" i="50"/>
  <c r="Q9" i="50" s="1"/>
  <c r="R12" i="50"/>
  <c r="Q12" i="50" s="1"/>
  <c r="R8" i="50"/>
  <c r="Q8" i="50" s="1"/>
  <c r="C22" i="35"/>
  <c r="O22" i="35" s="1"/>
  <c r="G7" i="38"/>
  <c r="Q6" i="50" l="1"/>
  <c r="C26" i="35"/>
  <c r="O26" i="35" s="1"/>
  <c r="C25" i="35"/>
  <c r="O25" i="35" s="1"/>
  <c r="H48" i="16" l="1"/>
  <c r="H41" i="16"/>
  <c r="E10" i="16" l="1"/>
  <c r="E11" i="16"/>
  <c r="E12" i="16"/>
  <c r="E13" i="16"/>
  <c r="E9" i="16"/>
  <c r="I10" i="16"/>
  <c r="I11" i="16"/>
  <c r="I13" i="16"/>
  <c r="I14" i="16"/>
  <c r="I15" i="16"/>
  <c r="I16" i="16"/>
  <c r="I17" i="16"/>
  <c r="I18" i="16"/>
  <c r="E39" i="2" l="1"/>
  <c r="E13" i="2"/>
  <c r="K34" i="2" l="1"/>
  <c r="M10" i="35" l="1"/>
  <c r="M29" i="35"/>
  <c r="M30" i="35"/>
  <c r="H9" i="35"/>
  <c r="M10" i="11" l="1"/>
  <c r="M23" i="11"/>
  <c r="J12" i="51" l="1"/>
  <c r="B9" i="51"/>
  <c r="E40" i="2"/>
  <c r="E14" i="16"/>
  <c r="E14" i="2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32" i="16"/>
  <c r="N10" i="16"/>
  <c r="N11" i="16"/>
  <c r="N13" i="16"/>
  <c r="N14" i="16"/>
  <c r="N15" i="16"/>
  <c r="N16" i="16"/>
  <c r="N17" i="16"/>
  <c r="N9" i="16"/>
  <c r="P30" i="11" l="1"/>
  <c r="H47" i="2" s="1"/>
  <c r="Q28" i="11"/>
  <c r="I45" i="2" s="1"/>
  <c r="Q24" i="11"/>
  <c r="I41" i="2" s="1"/>
  <c r="K18" i="2" l="1"/>
  <c r="P18" i="2" s="1"/>
  <c r="T18" i="2" s="1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N40" i="2"/>
  <c r="N39" i="2"/>
  <c r="R32" i="2"/>
  <c r="R18" i="2"/>
  <c r="R17" i="2"/>
  <c r="R16" i="2"/>
  <c r="R15" i="2"/>
  <c r="R10" i="2"/>
  <c r="R11" i="2"/>
  <c r="R12" i="2"/>
  <c r="R9" i="2"/>
  <c r="R14" i="2"/>
  <c r="R13" i="2"/>
  <c r="N14" i="2"/>
  <c r="N13" i="2"/>
  <c r="X18" i="2" l="1"/>
  <c r="Y18" i="2" l="1"/>
  <c r="AB18" i="2" s="1"/>
  <c r="AI18" i="2"/>
  <c r="J26" i="24" l="1"/>
  <c r="J27" i="24"/>
  <c r="J28" i="24"/>
  <c r="J25" i="24"/>
  <c r="J24" i="24"/>
  <c r="J23" i="24"/>
  <c r="J13" i="24" s="1"/>
  <c r="J18" i="24" l="1"/>
  <c r="J16" i="24"/>
  <c r="J14" i="24"/>
  <c r="J20" i="24"/>
  <c r="J21" i="24"/>
  <c r="C13" i="35"/>
  <c r="C11" i="35"/>
  <c r="G11" i="35" s="1"/>
  <c r="C17" i="35"/>
  <c r="J19" i="24"/>
  <c r="J15" i="24"/>
  <c r="J22" i="24"/>
  <c r="J17" i="24"/>
  <c r="C12" i="35"/>
  <c r="G12" i="35" s="1"/>
  <c r="O11" i="35"/>
  <c r="O9" i="35"/>
  <c r="C15" i="35"/>
  <c r="C27" i="35"/>
  <c r="O27" i="35" s="1"/>
  <c r="C24" i="35"/>
  <c r="O24" i="35" s="1"/>
  <c r="L9" i="50" l="1"/>
  <c r="M9" i="50" s="1"/>
  <c r="R13" i="23"/>
  <c r="R14" i="23"/>
  <c r="R8" i="23"/>
  <c r="R11" i="23"/>
  <c r="R12" i="23"/>
  <c r="R7" i="23"/>
  <c r="Q7" i="23" s="1"/>
  <c r="R9" i="23"/>
  <c r="R15" i="23"/>
  <c r="R10" i="23"/>
  <c r="C16" i="35"/>
  <c r="O28" i="35"/>
  <c r="C28" i="35"/>
  <c r="C10" i="35"/>
  <c r="C14" i="35"/>
  <c r="O23" i="35"/>
  <c r="C23" i="35"/>
  <c r="O29" i="35" l="1"/>
  <c r="O30" i="35"/>
  <c r="F19" i="24"/>
  <c r="I29" i="24"/>
  <c r="H29" i="24"/>
  <c r="G29" i="24"/>
  <c r="F29" i="24"/>
  <c r="I28" i="24"/>
  <c r="H28" i="24"/>
  <c r="G28" i="24"/>
  <c r="F28" i="24"/>
  <c r="I27" i="24"/>
  <c r="H27" i="24"/>
  <c r="G27" i="24"/>
  <c r="F27" i="24"/>
  <c r="I26" i="24"/>
  <c r="H26" i="24"/>
  <c r="G26" i="24"/>
  <c r="F26" i="24"/>
  <c r="I25" i="24"/>
  <c r="H25" i="24"/>
  <c r="G25" i="24"/>
  <c r="F25" i="24"/>
  <c r="I24" i="24"/>
  <c r="H24" i="24"/>
  <c r="G24" i="24"/>
  <c r="F24" i="24"/>
  <c r="I23" i="24"/>
  <c r="H23" i="24"/>
  <c r="G23" i="24"/>
  <c r="F23" i="24"/>
  <c r="I22" i="24"/>
  <c r="H22" i="24"/>
  <c r="G22" i="24"/>
  <c r="F22" i="24"/>
  <c r="I21" i="24"/>
  <c r="H21" i="24"/>
  <c r="G21" i="24"/>
  <c r="F21" i="24"/>
  <c r="I20" i="24"/>
  <c r="H20" i="24"/>
  <c r="G20" i="24"/>
  <c r="F20" i="24"/>
  <c r="I19" i="24"/>
  <c r="H19" i="24"/>
  <c r="I18" i="24"/>
  <c r="H18" i="24"/>
  <c r="G18" i="24"/>
  <c r="F18" i="24"/>
  <c r="I17" i="24"/>
  <c r="H17" i="24"/>
  <c r="G17" i="24"/>
  <c r="F17" i="24"/>
  <c r="I16" i="24"/>
  <c r="H16" i="24"/>
  <c r="G16" i="24"/>
  <c r="F16" i="24"/>
  <c r="I15" i="24"/>
  <c r="H15" i="24"/>
  <c r="G15" i="24"/>
  <c r="F15" i="24"/>
  <c r="I14" i="24"/>
  <c r="H14" i="24"/>
  <c r="G14" i="24"/>
  <c r="F14" i="24"/>
  <c r="I13" i="24"/>
  <c r="H13" i="24"/>
  <c r="G13" i="24"/>
  <c r="F13" i="24"/>
  <c r="I12" i="24"/>
  <c r="H12" i="24"/>
  <c r="G12" i="24"/>
  <c r="F12" i="24"/>
  <c r="H11" i="24"/>
  <c r="G11" i="24"/>
  <c r="F11" i="24"/>
  <c r="I10" i="24"/>
  <c r="H10" i="24"/>
  <c r="G10" i="24"/>
  <c r="F10" i="24"/>
  <c r="I9" i="24"/>
  <c r="G9" i="24"/>
  <c r="F9" i="24"/>
  <c r="I8" i="24"/>
  <c r="H8" i="24"/>
  <c r="G8" i="24"/>
  <c r="F8" i="24"/>
  <c r="I7" i="24"/>
  <c r="H7" i="24"/>
  <c r="G7" i="24"/>
  <c r="F7" i="24"/>
  <c r="I6" i="24"/>
  <c r="H6" i="24"/>
  <c r="F6" i="24"/>
  <c r="I5" i="24"/>
  <c r="H5" i="24"/>
  <c r="G5" i="24"/>
  <c r="I6" i="23"/>
  <c r="J11" i="50" l="1"/>
  <c r="K7" i="50"/>
  <c r="K12" i="50" s="1"/>
  <c r="E7" i="50"/>
  <c r="E15" i="50" s="1"/>
  <c r="F7" i="50"/>
  <c r="J10" i="50"/>
  <c r="F11" i="50"/>
  <c r="G11" i="50" s="1"/>
  <c r="E13" i="50"/>
  <c r="E10" i="50"/>
  <c r="J7" i="50"/>
  <c r="J12" i="50"/>
  <c r="J5" i="34"/>
  <c r="I7" i="23"/>
  <c r="I15" i="23" s="1"/>
  <c r="G13" i="34" s="1"/>
  <c r="I7" i="50"/>
  <c r="F9" i="50" s="1"/>
  <c r="G9" i="50" s="1"/>
  <c r="F13" i="50"/>
  <c r="M7" i="50"/>
  <c r="L14" i="11"/>
  <c r="D18" i="16" s="1"/>
  <c r="M10" i="50"/>
  <c r="L10" i="50"/>
  <c r="E8" i="50"/>
  <c r="L13" i="50"/>
  <c r="F8" i="50"/>
  <c r="G8" i="50" s="1"/>
  <c r="F15" i="50"/>
  <c r="G15" i="50" s="1"/>
  <c r="G7" i="50"/>
  <c r="F12" i="50"/>
  <c r="G12" i="50" s="1"/>
  <c r="F10" i="50"/>
  <c r="G10" i="50" s="1"/>
  <c r="H7" i="23"/>
  <c r="F6" i="34" s="1"/>
  <c r="H7" i="50"/>
  <c r="H13" i="50" s="1"/>
  <c r="M7" i="23"/>
  <c r="M10" i="23"/>
  <c r="G6" i="34"/>
  <c r="G5" i="34"/>
  <c r="E7" i="23"/>
  <c r="E15" i="23" s="1"/>
  <c r="F7" i="23"/>
  <c r="F15" i="23" s="1"/>
  <c r="H9" i="23"/>
  <c r="F8" i="34" s="1"/>
  <c r="L10" i="23"/>
  <c r="J9" i="34" s="1"/>
  <c r="L13" i="23"/>
  <c r="F11" i="23"/>
  <c r="L9" i="23"/>
  <c r="J12" i="23"/>
  <c r="J11" i="23"/>
  <c r="J10" i="23"/>
  <c r="J7" i="23"/>
  <c r="G29" i="13"/>
  <c r="G31" i="13"/>
  <c r="G32" i="13"/>
  <c r="G33" i="13"/>
  <c r="G34" i="13"/>
  <c r="G6" i="13"/>
  <c r="H11" i="16" s="1"/>
  <c r="G7" i="13"/>
  <c r="H12" i="16" s="1"/>
  <c r="G8" i="13"/>
  <c r="H15" i="16" s="1"/>
  <c r="G9" i="13"/>
  <c r="H16" i="16" s="1"/>
  <c r="G10" i="13"/>
  <c r="H17" i="16" s="1"/>
  <c r="G11" i="13"/>
  <c r="G12" i="13"/>
  <c r="G13" i="13"/>
  <c r="G14" i="13"/>
  <c r="G15" i="13"/>
  <c r="G16" i="13"/>
  <c r="G17" i="13"/>
  <c r="H18" i="16" s="1"/>
  <c r="G18" i="13"/>
  <c r="G19" i="13"/>
  <c r="I12" i="16" s="1"/>
  <c r="G20" i="13"/>
  <c r="G21" i="13"/>
  <c r="G22" i="13"/>
  <c r="G23" i="13"/>
  <c r="G24" i="13"/>
  <c r="G25" i="13"/>
  <c r="G26" i="13"/>
  <c r="H14" i="16" s="1"/>
  <c r="G27" i="13"/>
  <c r="H13" i="16" s="1"/>
  <c r="G28" i="13"/>
  <c r="K15" i="50" l="1"/>
  <c r="K10" i="50"/>
  <c r="K8" i="50"/>
  <c r="E12" i="50"/>
  <c r="K13" i="50"/>
  <c r="K14" i="50" s="1"/>
  <c r="H12" i="23"/>
  <c r="F11" i="34" s="1"/>
  <c r="L6" i="50"/>
  <c r="M6" i="50" s="1"/>
  <c r="H13" i="23"/>
  <c r="H11" i="23" s="1"/>
  <c r="F10" i="34" s="1"/>
  <c r="H10" i="23"/>
  <c r="F9" i="34" s="1"/>
  <c r="H8" i="23"/>
  <c r="F7" i="34" s="1"/>
  <c r="L6" i="23"/>
  <c r="M6" i="23" s="1"/>
  <c r="H14" i="50"/>
  <c r="H11" i="50"/>
  <c r="I12" i="23"/>
  <c r="G11" i="34" s="1"/>
  <c r="I8" i="23"/>
  <c r="G7" i="34" s="1"/>
  <c r="I13" i="23"/>
  <c r="G12" i="34" s="1"/>
  <c r="L12" i="50"/>
  <c r="M12" i="50" s="1"/>
  <c r="L7" i="50"/>
  <c r="L8" i="50"/>
  <c r="M8" i="50" s="1"/>
  <c r="E9" i="50"/>
  <c r="H15" i="23"/>
  <c r="F13" i="34" s="1"/>
  <c r="I13" i="50"/>
  <c r="J8" i="50"/>
  <c r="J15" i="50"/>
  <c r="J13" i="50"/>
  <c r="I10" i="23"/>
  <c r="G9" i="34" s="1"/>
  <c r="H10" i="50"/>
  <c r="H12" i="50"/>
  <c r="H15" i="50"/>
  <c r="H8" i="50"/>
  <c r="L11" i="50"/>
  <c r="M11" i="50" s="1"/>
  <c r="L14" i="50"/>
  <c r="M14" i="50" s="1"/>
  <c r="M13" i="50"/>
  <c r="G13" i="50"/>
  <c r="G14" i="50" s="1"/>
  <c r="F14" i="50"/>
  <c r="I10" i="50"/>
  <c r="I12" i="50"/>
  <c r="I15" i="50"/>
  <c r="I8" i="50"/>
  <c r="J9" i="50"/>
  <c r="K9" i="50"/>
  <c r="E11" i="50"/>
  <c r="E14" i="50"/>
  <c r="H11" i="34"/>
  <c r="J13" i="23"/>
  <c r="H9" i="34"/>
  <c r="H10" i="34"/>
  <c r="J12" i="34"/>
  <c r="M13" i="23"/>
  <c r="L14" i="23"/>
  <c r="M14" i="23" s="1"/>
  <c r="E6" i="34"/>
  <c r="E5" i="34" s="1"/>
  <c r="G15" i="23"/>
  <c r="G7" i="23"/>
  <c r="J8" i="34"/>
  <c r="M9" i="23"/>
  <c r="E10" i="34"/>
  <c r="G11" i="23"/>
  <c r="L7" i="23"/>
  <c r="L8" i="23"/>
  <c r="E8" i="23"/>
  <c r="D7" i="34" s="1"/>
  <c r="D6" i="34"/>
  <c r="J8" i="23"/>
  <c r="H6" i="34"/>
  <c r="H5" i="34" s="1"/>
  <c r="F8" i="23"/>
  <c r="J9" i="23"/>
  <c r="J15" i="23"/>
  <c r="F12" i="23"/>
  <c r="E13" i="34"/>
  <c r="F9" i="23"/>
  <c r="F13" i="23"/>
  <c r="F10" i="23"/>
  <c r="E9" i="34" s="1"/>
  <c r="L11" i="23"/>
  <c r="H53" i="16"/>
  <c r="I41" i="16"/>
  <c r="I33" i="16"/>
  <c r="I34" i="16"/>
  <c r="I35" i="16"/>
  <c r="I36" i="16"/>
  <c r="H37" i="16"/>
  <c r="I37" i="16"/>
  <c r="H38" i="16"/>
  <c r="I38" i="16"/>
  <c r="I39" i="16"/>
  <c r="I40" i="16"/>
  <c r="I32" i="16"/>
  <c r="H32" i="16"/>
  <c r="K11" i="50" l="1"/>
  <c r="I14" i="23"/>
  <c r="I11" i="23"/>
  <c r="F6" i="50"/>
  <c r="G6" i="50" s="1"/>
  <c r="G17" i="50" s="1"/>
  <c r="G18" i="50" s="1"/>
  <c r="J6" i="50"/>
  <c r="H14" i="23"/>
  <c r="H17" i="23" s="1"/>
  <c r="H18" i="23" s="1"/>
  <c r="F12" i="34"/>
  <c r="N10" i="50"/>
  <c r="S10" i="50" s="1"/>
  <c r="N15" i="50"/>
  <c r="S15" i="50" s="1"/>
  <c r="N8" i="50"/>
  <c r="S8" i="50" s="1"/>
  <c r="N12" i="50"/>
  <c r="S12" i="50" s="1"/>
  <c r="O7" i="50"/>
  <c r="T7" i="50" s="1"/>
  <c r="O15" i="50"/>
  <c r="T15" i="50" s="1"/>
  <c r="O12" i="50"/>
  <c r="T12" i="50" s="1"/>
  <c r="O8" i="50"/>
  <c r="T8" i="50" s="1"/>
  <c r="N7" i="50"/>
  <c r="S7" i="50" s="1"/>
  <c r="M17" i="50"/>
  <c r="M18" i="50" s="1"/>
  <c r="L17" i="50"/>
  <c r="L18" i="50" s="1"/>
  <c r="H17" i="50"/>
  <c r="H18" i="50" s="1"/>
  <c r="J14" i="50"/>
  <c r="O9" i="50"/>
  <c r="T9" i="50" s="1"/>
  <c r="N9" i="50"/>
  <c r="S9" i="50" s="1"/>
  <c r="I11" i="50"/>
  <c r="O11" i="50" s="1"/>
  <c r="T11" i="50" s="1"/>
  <c r="I14" i="50"/>
  <c r="O10" i="50"/>
  <c r="T10" i="50" s="1"/>
  <c r="N13" i="50"/>
  <c r="S13" i="50" s="1"/>
  <c r="O13" i="50"/>
  <c r="T13" i="50" s="1"/>
  <c r="H12" i="34"/>
  <c r="H13" i="34"/>
  <c r="H8" i="34"/>
  <c r="H7" i="34"/>
  <c r="J14" i="23"/>
  <c r="F6" i="23"/>
  <c r="G6" i="23" s="1"/>
  <c r="J6" i="23"/>
  <c r="G10" i="34"/>
  <c r="I17" i="23"/>
  <c r="I18" i="23" s="1"/>
  <c r="M15" i="23"/>
  <c r="E12" i="34"/>
  <c r="F14" i="23"/>
  <c r="E7" i="34"/>
  <c r="G8" i="23"/>
  <c r="J10" i="34"/>
  <c r="M11" i="23"/>
  <c r="E8" i="34"/>
  <c r="G9" i="23"/>
  <c r="E11" i="34"/>
  <c r="G12" i="23"/>
  <c r="D5" i="34"/>
  <c r="G10" i="23"/>
  <c r="G13" i="23"/>
  <c r="G14" i="23" s="1"/>
  <c r="F17" i="50" l="1"/>
  <c r="F18" i="50" s="1"/>
  <c r="J17" i="50"/>
  <c r="J18" i="50" s="1"/>
  <c r="E6" i="50"/>
  <c r="F17" i="23"/>
  <c r="F18" i="23" s="1"/>
  <c r="N14" i="50"/>
  <c r="S14" i="50" s="1"/>
  <c r="O14" i="50"/>
  <c r="T14" i="50" s="1"/>
  <c r="E17" i="50"/>
  <c r="E18" i="50" s="1"/>
  <c r="N11" i="50"/>
  <c r="S11" i="50" s="1"/>
  <c r="I17" i="50"/>
  <c r="I18" i="50" s="1"/>
  <c r="J17" i="23"/>
  <c r="J18" i="23" s="1"/>
  <c r="E6" i="23"/>
  <c r="G17" i="23"/>
  <c r="G18" i="23" s="1"/>
  <c r="I9" i="16"/>
  <c r="H10" i="16"/>
  <c r="H6" i="13"/>
  <c r="H7" i="13"/>
  <c r="H8" i="13"/>
  <c r="H9" i="13"/>
  <c r="H10" i="13"/>
  <c r="H11" i="13"/>
  <c r="H12" i="13"/>
  <c r="H13" i="13"/>
  <c r="H14" i="13"/>
  <c r="H15" i="13"/>
  <c r="H16" i="13"/>
  <c r="I16" i="13" s="1"/>
  <c r="H17" i="13"/>
  <c r="H18" i="13"/>
  <c r="I18" i="13" s="1"/>
  <c r="H19" i="13"/>
  <c r="I19" i="13" s="1"/>
  <c r="H20" i="13"/>
  <c r="I20" i="13" s="1"/>
  <c r="H21" i="13"/>
  <c r="I21" i="13" s="1"/>
  <c r="H22" i="13"/>
  <c r="I22" i="13" s="1"/>
  <c r="H23" i="13"/>
  <c r="I23" i="13" s="1"/>
  <c r="H24" i="13"/>
  <c r="I24" i="13" s="1"/>
  <c r="H25" i="13"/>
  <c r="H26" i="13"/>
  <c r="I26" i="13" s="1"/>
  <c r="H27" i="13"/>
  <c r="I27" i="13" s="1"/>
  <c r="H28" i="13"/>
  <c r="I28" i="13" s="1"/>
  <c r="H5" i="13"/>
  <c r="H68" i="16"/>
  <c r="H67" i="16"/>
  <c r="H66" i="16"/>
  <c r="H65" i="16"/>
  <c r="H64" i="16"/>
  <c r="B64" i="16"/>
  <c r="H63" i="16"/>
  <c r="H62" i="16"/>
  <c r="A62" i="16"/>
  <c r="C61" i="16"/>
  <c r="P56" i="16"/>
  <c r="M56" i="16"/>
  <c r="E56" i="16"/>
  <c r="P55" i="16"/>
  <c r="M55" i="16"/>
  <c r="E55" i="16"/>
  <c r="P54" i="16"/>
  <c r="M54" i="16"/>
  <c r="E54" i="16"/>
  <c r="P53" i="16"/>
  <c r="M53" i="16"/>
  <c r="G67" i="16"/>
  <c r="F67" i="16"/>
  <c r="E53" i="16"/>
  <c r="P52" i="16"/>
  <c r="M52" i="16"/>
  <c r="E52" i="16"/>
  <c r="P51" i="16"/>
  <c r="M51" i="16"/>
  <c r="E51" i="16"/>
  <c r="P50" i="16"/>
  <c r="M50" i="16"/>
  <c r="E50" i="16"/>
  <c r="P49" i="16"/>
  <c r="M49" i="16"/>
  <c r="E49" i="16"/>
  <c r="P48" i="16"/>
  <c r="M48" i="16"/>
  <c r="E48" i="16"/>
  <c r="P47" i="16"/>
  <c r="M47" i="16"/>
  <c r="E47" i="16"/>
  <c r="P46" i="16"/>
  <c r="M46" i="16"/>
  <c r="E46" i="16"/>
  <c r="P45" i="16"/>
  <c r="M45" i="16"/>
  <c r="E45" i="16"/>
  <c r="P44" i="16"/>
  <c r="M44" i="16"/>
  <c r="E44" i="16"/>
  <c r="P43" i="16"/>
  <c r="M43" i="16"/>
  <c r="E43" i="16"/>
  <c r="P42" i="16"/>
  <c r="M42" i="16"/>
  <c r="E42" i="16"/>
  <c r="P41" i="16"/>
  <c r="M41" i="16"/>
  <c r="F66" i="16"/>
  <c r="E41" i="16"/>
  <c r="P40" i="16"/>
  <c r="M40" i="16"/>
  <c r="K40" i="16"/>
  <c r="E40" i="16"/>
  <c r="P39" i="16"/>
  <c r="M39" i="16"/>
  <c r="K39" i="16"/>
  <c r="E39" i="16"/>
  <c r="P38" i="16"/>
  <c r="M38" i="16"/>
  <c r="P37" i="16"/>
  <c r="M37" i="16"/>
  <c r="E37" i="16"/>
  <c r="P36" i="16"/>
  <c r="M36" i="16"/>
  <c r="E36" i="16"/>
  <c r="P35" i="16"/>
  <c r="M35" i="16"/>
  <c r="G63" i="16"/>
  <c r="E35" i="16"/>
  <c r="P34" i="16"/>
  <c r="M34" i="16"/>
  <c r="E34" i="16"/>
  <c r="P33" i="16"/>
  <c r="M33" i="16"/>
  <c r="E33" i="16"/>
  <c r="P32" i="16"/>
  <c r="M32" i="16"/>
  <c r="G62" i="16"/>
  <c r="F62" i="16"/>
  <c r="E32" i="16"/>
  <c r="A32" i="16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B22" i="16"/>
  <c r="P18" i="16"/>
  <c r="M18" i="16"/>
  <c r="E18" i="16"/>
  <c r="P17" i="16"/>
  <c r="M17" i="16"/>
  <c r="E17" i="16"/>
  <c r="P16" i="16"/>
  <c r="M16" i="16"/>
  <c r="E16" i="16"/>
  <c r="P15" i="16"/>
  <c r="M15" i="16"/>
  <c r="E15" i="16"/>
  <c r="P14" i="16"/>
  <c r="M14" i="16"/>
  <c r="P13" i="16"/>
  <c r="M13" i="16"/>
  <c r="P12" i="16"/>
  <c r="M12" i="16"/>
  <c r="P11" i="16"/>
  <c r="M11" i="16"/>
  <c r="P10" i="16"/>
  <c r="M10" i="16"/>
  <c r="P9" i="16"/>
  <c r="M9" i="16"/>
  <c r="A9" i="16"/>
  <c r="A10" i="16" s="1"/>
  <c r="A11" i="16" s="1"/>
  <c r="A12" i="16" s="1"/>
  <c r="F32" i="50" l="1"/>
  <c r="C22" i="16"/>
  <c r="F33" i="16"/>
  <c r="F38" i="16"/>
  <c r="F12" i="16"/>
  <c r="C63" i="16"/>
  <c r="C67" i="16"/>
  <c r="C68" i="16"/>
  <c r="H35" i="16"/>
  <c r="H36" i="16"/>
  <c r="H40" i="16"/>
  <c r="H33" i="16"/>
  <c r="H39" i="16"/>
  <c r="H34" i="16"/>
  <c r="I25" i="13"/>
  <c r="I10" i="13"/>
  <c r="I14" i="13"/>
  <c r="I6" i="13"/>
  <c r="I5" i="13"/>
  <c r="G68" i="16"/>
  <c r="I13" i="13"/>
  <c r="I9" i="13"/>
  <c r="G65" i="16"/>
  <c r="I12" i="13"/>
  <c r="I8" i="13"/>
  <c r="I15" i="13"/>
  <c r="I11" i="13"/>
  <c r="I17" i="13"/>
  <c r="F55" i="16"/>
  <c r="F10" i="16"/>
  <c r="G66" i="16"/>
  <c r="F32" i="16"/>
  <c r="F34" i="16"/>
  <c r="F35" i="16"/>
  <c r="C66" i="16"/>
  <c r="I7" i="13"/>
  <c r="F14" i="16"/>
  <c r="F11" i="16"/>
  <c r="F17" i="16"/>
  <c r="F9" i="16"/>
  <c r="F16" i="16"/>
  <c r="C65" i="16"/>
  <c r="G64" i="16"/>
  <c r="F13" i="16"/>
  <c r="G22" i="16"/>
  <c r="F18" i="16"/>
  <c r="F15" i="16"/>
  <c r="F36" i="16"/>
  <c r="F40" i="16"/>
  <c r="F42" i="16"/>
  <c r="F44" i="16"/>
  <c r="F46" i="16"/>
  <c r="F48" i="16"/>
  <c r="F50" i="16"/>
  <c r="F52" i="16"/>
  <c r="F54" i="16"/>
  <c r="F56" i="16"/>
  <c r="C62" i="16"/>
  <c r="F37" i="16"/>
  <c r="F39" i="16"/>
  <c r="F41" i="16"/>
  <c r="F43" i="16"/>
  <c r="F45" i="16"/>
  <c r="F47" i="16"/>
  <c r="F49" i="16"/>
  <c r="F51" i="16"/>
  <c r="F53" i="16"/>
  <c r="C64" i="16"/>
  <c r="Q11" i="23" l="1"/>
  <c r="F64" i="16"/>
  <c r="F65" i="16"/>
  <c r="F68" i="16"/>
  <c r="F63" i="16"/>
  <c r="F66" i="2" l="1"/>
  <c r="Q14" i="23"/>
  <c r="Q13" i="23"/>
  <c r="Q10" i="23"/>
  <c r="Q9" i="23"/>
  <c r="Q12" i="23"/>
  <c r="Q15" i="23"/>
  <c r="Q8" i="23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L10" i="2"/>
  <c r="AA10" i="2" s="1"/>
  <c r="L11" i="2"/>
  <c r="L12" i="2"/>
  <c r="L13" i="2"/>
  <c r="L14" i="2"/>
  <c r="L15" i="2"/>
  <c r="L16" i="2"/>
  <c r="L17" i="2"/>
  <c r="L18" i="2"/>
  <c r="L9" i="2"/>
  <c r="K10" i="2"/>
  <c r="K11" i="2"/>
  <c r="K12" i="2"/>
  <c r="K13" i="2"/>
  <c r="K14" i="2"/>
  <c r="K15" i="2"/>
  <c r="K16" i="2"/>
  <c r="K17" i="2"/>
  <c r="K9" i="2"/>
  <c r="L33" i="2"/>
  <c r="L34" i="2"/>
  <c r="L35" i="2"/>
  <c r="L36" i="2"/>
  <c r="L37" i="2"/>
  <c r="L38" i="2"/>
  <c r="L39" i="2"/>
  <c r="AA39" i="2" s="1"/>
  <c r="L40" i="2"/>
  <c r="AA40" i="2" s="1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32" i="2"/>
  <c r="K33" i="2"/>
  <c r="K35" i="2"/>
  <c r="K36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32" i="2"/>
  <c r="E33" i="2"/>
  <c r="D34" i="2"/>
  <c r="E34" i="2"/>
  <c r="D35" i="2"/>
  <c r="E35" i="2"/>
  <c r="D36" i="2"/>
  <c r="E36" i="2"/>
  <c r="D37" i="2"/>
  <c r="E37" i="2"/>
  <c r="D38" i="2"/>
  <c r="E38" i="2"/>
  <c r="D39" i="2"/>
  <c r="D40" i="2"/>
  <c r="E32" i="2"/>
  <c r="D32" i="2"/>
  <c r="E10" i="2"/>
  <c r="D11" i="2"/>
  <c r="E11" i="2"/>
  <c r="D12" i="2"/>
  <c r="E12" i="2"/>
  <c r="D13" i="2"/>
  <c r="D14" i="2"/>
  <c r="D15" i="2"/>
  <c r="E15" i="2"/>
  <c r="D16" i="2"/>
  <c r="E16" i="2"/>
  <c r="D17" i="2"/>
  <c r="E17" i="2"/>
  <c r="D18" i="2"/>
  <c r="E9" i="2"/>
  <c r="D9" i="2"/>
  <c r="D33" i="2" l="1"/>
  <c r="D33" i="16"/>
  <c r="AA34" i="2"/>
  <c r="AA33" i="2"/>
  <c r="AA35" i="2"/>
  <c r="AA11" i="2"/>
  <c r="AA32" i="2"/>
  <c r="AA49" i="2"/>
  <c r="AA37" i="2"/>
  <c r="AA56" i="2"/>
  <c r="AA52" i="2"/>
  <c r="AA48" i="2"/>
  <c r="AA44" i="2"/>
  <c r="AA36" i="2"/>
  <c r="AA50" i="2"/>
  <c r="AA53" i="2"/>
  <c r="AA55" i="2"/>
  <c r="AA51" i="2"/>
  <c r="AA47" i="2"/>
  <c r="AA43" i="2"/>
  <c r="AA54" i="2"/>
  <c r="AA46" i="2"/>
  <c r="AA42" i="2"/>
  <c r="AA14" i="2"/>
  <c r="AA17" i="2"/>
  <c r="AA13" i="2"/>
  <c r="AA16" i="2"/>
  <c r="AA18" i="2"/>
  <c r="AA15" i="2"/>
  <c r="X14" i="2"/>
  <c r="X13" i="2"/>
  <c r="D17" i="38"/>
  <c r="G17" i="38" s="1"/>
  <c r="D18" i="38"/>
  <c r="G18" i="38" s="1"/>
  <c r="G8" i="38"/>
  <c r="F36" i="2"/>
  <c r="F39" i="2"/>
  <c r="F32" i="2"/>
  <c r="F40" i="2"/>
  <c r="G40" i="2" s="1"/>
  <c r="P13" i="2"/>
  <c r="P14" i="2"/>
  <c r="G20" i="38" l="1"/>
  <c r="T14" i="2"/>
  <c r="AI14" i="2" s="1"/>
  <c r="T13" i="2"/>
  <c r="AI13" i="2" s="1"/>
  <c r="Y13" i="2"/>
  <c r="Y14" i="2"/>
  <c r="AB14" i="2" s="1"/>
  <c r="G10" i="38" l="1"/>
  <c r="G2" i="38" s="1"/>
  <c r="C10" i="1" s="1"/>
  <c r="AB13" i="2"/>
  <c r="Q35" i="2" l="1"/>
  <c r="C3" i="16"/>
  <c r="E12" i="23"/>
  <c r="D11" i="34" s="1"/>
  <c r="E10" i="23"/>
  <c r="E9" i="23"/>
  <c r="E13" i="23"/>
  <c r="D13" i="34"/>
  <c r="K7" i="23"/>
  <c r="O7" i="23" s="1"/>
  <c r="T7" i="23" s="1"/>
  <c r="C2" i="16"/>
  <c r="D8" i="34" l="1"/>
  <c r="E14" i="23"/>
  <c r="D9" i="34"/>
  <c r="E11" i="23"/>
  <c r="D12" i="34"/>
  <c r="I6" i="34"/>
  <c r="K8" i="23"/>
  <c r="K15" i="23"/>
  <c r="K9" i="23"/>
  <c r="I8" i="34" s="1"/>
  <c r="K12" i="23"/>
  <c r="I11" i="34" s="1"/>
  <c r="K13" i="23"/>
  <c r="K10" i="23"/>
  <c r="I9" i="34" s="1"/>
  <c r="E19" i="11"/>
  <c r="H23" i="1" s="1"/>
  <c r="D23" i="52" s="1"/>
  <c r="S23" i="1" l="1"/>
  <c r="E17" i="23"/>
  <c r="E18" i="23" s="1"/>
  <c r="K9" i="34"/>
  <c r="D13" i="35" s="1"/>
  <c r="I13" i="34"/>
  <c r="O15" i="23"/>
  <c r="T15" i="23" s="1"/>
  <c r="O10" i="23"/>
  <c r="T10" i="23" s="1"/>
  <c r="O9" i="23"/>
  <c r="T9" i="23" s="1"/>
  <c r="O13" i="23"/>
  <c r="T13" i="23" s="1"/>
  <c r="K8" i="34"/>
  <c r="D12" i="35" s="1"/>
  <c r="I12" i="34"/>
  <c r="K12" i="34" s="1"/>
  <c r="K14" i="23"/>
  <c r="O14" i="23" s="1"/>
  <c r="T14" i="23" s="1"/>
  <c r="D10" i="34"/>
  <c r="I7" i="34"/>
  <c r="I5" i="34"/>
  <c r="N13" i="23"/>
  <c r="S13" i="23" s="1"/>
  <c r="N10" i="23"/>
  <c r="S10" i="23" s="1"/>
  <c r="N9" i="23"/>
  <c r="S9" i="23" s="1"/>
  <c r="K11" i="23"/>
  <c r="I10" i="34" s="1"/>
  <c r="K6" i="50" l="1"/>
  <c r="O6" i="50" s="1"/>
  <c r="K6" i="23"/>
  <c r="O6" i="23" s="1"/>
  <c r="T6" i="23" s="1"/>
  <c r="F32" i="23"/>
  <c r="O11" i="23"/>
  <c r="T11" i="23" s="1"/>
  <c r="K10" i="34"/>
  <c r="D14" i="35" s="1"/>
  <c r="D16" i="35"/>
  <c r="K5" i="34"/>
  <c r="N14" i="23"/>
  <c r="S14" i="23" s="1"/>
  <c r="N11" i="23"/>
  <c r="S11" i="23" s="1"/>
  <c r="F63" i="2"/>
  <c r="F16" i="2"/>
  <c r="G16" i="2" s="1"/>
  <c r="F17" i="2"/>
  <c r="G17" i="2" s="1"/>
  <c r="B22" i="2"/>
  <c r="T6" i="50" l="1"/>
  <c r="F31" i="50" s="1"/>
  <c r="F33" i="50" s="1"/>
  <c r="N6" i="50"/>
  <c r="K17" i="50"/>
  <c r="K17" i="23"/>
  <c r="K18" i="23" s="1"/>
  <c r="N6" i="23"/>
  <c r="S6" i="23" s="1"/>
  <c r="F18" i="2"/>
  <c r="G18" i="2" s="1"/>
  <c r="F10" i="2"/>
  <c r="G10" i="2" s="1"/>
  <c r="F11" i="2"/>
  <c r="C22" i="2"/>
  <c r="F9" i="2"/>
  <c r="F15" i="2"/>
  <c r="G15" i="2" s="1"/>
  <c r="F13" i="2"/>
  <c r="G13" i="2" s="1"/>
  <c r="F14" i="2"/>
  <c r="G14" i="2" s="1"/>
  <c r="D9" i="35"/>
  <c r="C63" i="2"/>
  <c r="D63" i="2" s="1"/>
  <c r="E63" i="2" s="1"/>
  <c r="C65" i="2"/>
  <c r="D65" i="2" s="1"/>
  <c r="E65" i="2" s="1"/>
  <c r="C66" i="2"/>
  <c r="D66" i="2" s="1"/>
  <c r="E66" i="2" s="1"/>
  <c r="C67" i="2"/>
  <c r="D67" i="2" s="1"/>
  <c r="E67" i="2" s="1"/>
  <c r="C68" i="2"/>
  <c r="D68" i="2" s="1"/>
  <c r="E68" i="2" s="1"/>
  <c r="C62" i="2"/>
  <c r="K18" i="50" l="1"/>
  <c r="F29" i="50" s="1"/>
  <c r="S6" i="50"/>
  <c r="F28" i="50" s="1"/>
  <c r="D62" i="2"/>
  <c r="E62" i="2" s="1"/>
  <c r="G63" i="2"/>
  <c r="G62" i="2"/>
  <c r="F33" i="2"/>
  <c r="G33" i="2" s="1"/>
  <c r="F34" i="2"/>
  <c r="G34" i="2" s="1"/>
  <c r="F35" i="2"/>
  <c r="G35" i="2" s="1"/>
  <c r="G36" i="2"/>
  <c r="F37" i="2"/>
  <c r="G37" i="2" s="1"/>
  <c r="F38" i="2"/>
  <c r="G38" i="2" s="1"/>
  <c r="G39" i="2"/>
  <c r="F41" i="2"/>
  <c r="G41" i="2" s="1"/>
  <c r="F42" i="2"/>
  <c r="F43" i="2"/>
  <c r="G43" i="2" s="1"/>
  <c r="F44" i="2"/>
  <c r="F45" i="2"/>
  <c r="G45" i="2" s="1"/>
  <c r="F46" i="2"/>
  <c r="F47" i="2"/>
  <c r="F48" i="2"/>
  <c r="F49" i="2"/>
  <c r="F50" i="2"/>
  <c r="F51" i="2"/>
  <c r="F52" i="2"/>
  <c r="F53" i="2"/>
  <c r="F54" i="2"/>
  <c r="F55" i="2"/>
  <c r="F56" i="2"/>
  <c r="G32" i="2"/>
  <c r="B64" i="2"/>
  <c r="A62" i="2"/>
  <c r="C61" i="2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F12" i="2"/>
  <c r="G9" i="2"/>
  <c r="A9" i="2"/>
  <c r="A10" i="2" s="1"/>
  <c r="A11" i="2" s="1"/>
  <c r="A12" i="2" s="1"/>
  <c r="F30" i="50" l="1"/>
  <c r="C64" i="2"/>
  <c r="D64" i="2" s="1"/>
  <c r="E64" i="2" s="1"/>
  <c r="J33" i="2" s="1"/>
  <c r="G64" i="2"/>
  <c r="F64" i="2"/>
  <c r="F68" i="2"/>
  <c r="G68" i="2"/>
  <c r="D22" i="2"/>
  <c r="E22" i="2" s="1"/>
  <c r="G66" i="2"/>
  <c r="G67" i="2"/>
  <c r="F67" i="2"/>
  <c r="F65" i="2"/>
  <c r="G65" i="2"/>
  <c r="J38" i="2"/>
  <c r="J36" i="2"/>
  <c r="J35" i="2"/>
  <c r="J32" i="2"/>
  <c r="G53" i="2"/>
  <c r="G49" i="2"/>
  <c r="G54" i="2"/>
  <c r="G50" i="2"/>
  <c r="G46" i="2"/>
  <c r="G44" i="2"/>
  <c r="G55" i="2"/>
  <c r="G51" i="2"/>
  <c r="G47" i="2"/>
  <c r="G56" i="2"/>
  <c r="G52" i="2"/>
  <c r="G48" i="2"/>
  <c r="G42" i="2"/>
  <c r="G11" i="2"/>
  <c r="G12" i="2"/>
  <c r="C24" i="2" l="1"/>
  <c r="J14" i="2"/>
  <c r="J17" i="2"/>
  <c r="J15" i="2"/>
  <c r="J18" i="2"/>
  <c r="J12" i="2"/>
  <c r="J13" i="2"/>
  <c r="J9" i="2"/>
  <c r="J10" i="2"/>
  <c r="J16" i="2"/>
  <c r="J11" i="2"/>
  <c r="J37" i="2"/>
  <c r="J34" i="2"/>
  <c r="J41" i="2"/>
  <c r="J45" i="2"/>
  <c r="J49" i="2"/>
  <c r="J42" i="2"/>
  <c r="J46" i="2"/>
  <c r="J50" i="2"/>
  <c r="J43" i="2"/>
  <c r="J47" i="2"/>
  <c r="J51" i="2"/>
  <c r="J44" i="2"/>
  <c r="J48" i="2"/>
  <c r="J52" i="2"/>
  <c r="J39" i="2"/>
  <c r="J40" i="2"/>
  <c r="J53" i="2"/>
  <c r="J54" i="2"/>
  <c r="J55" i="2"/>
  <c r="J56" i="2"/>
  <c r="C70" i="2" l="1"/>
  <c r="C2" i="2" l="1"/>
  <c r="D3" i="35" l="1"/>
  <c r="I9" i="35" l="1"/>
  <c r="T35" i="2" l="1"/>
  <c r="U35" i="2"/>
  <c r="L12" i="23" l="1"/>
  <c r="J11" i="34" l="1"/>
  <c r="K11" i="34" s="1"/>
  <c r="D15" i="35" s="1"/>
  <c r="L17" i="23"/>
  <c r="L18" i="23" s="1"/>
  <c r="M8" i="23"/>
  <c r="M12" i="23"/>
  <c r="N12" i="23" s="1"/>
  <c r="S12" i="23" s="1"/>
  <c r="N7" i="23"/>
  <c r="S7" i="23" s="1"/>
  <c r="J6" i="34"/>
  <c r="J7" i="34"/>
  <c r="K7" i="34" s="1"/>
  <c r="M17" i="23" l="1"/>
  <c r="M18" i="23" s="1"/>
  <c r="O8" i="23"/>
  <c r="T8" i="23" s="1"/>
  <c r="O12" i="23"/>
  <c r="T12" i="23" s="1"/>
  <c r="N8" i="23"/>
  <c r="S8" i="23" s="1"/>
  <c r="N15" i="23"/>
  <c r="S15" i="23" s="1"/>
  <c r="J13" i="34"/>
  <c r="K13" i="34" s="1"/>
  <c r="K6" i="34"/>
  <c r="D11" i="35"/>
  <c r="F28" i="23" l="1"/>
  <c r="F29" i="23"/>
  <c r="F31" i="23"/>
  <c r="F33" i="23" s="1"/>
  <c r="D17" i="35"/>
  <c r="D10" i="35"/>
  <c r="F30" i="23" l="1"/>
  <c r="H31" i="13"/>
  <c r="I31" i="13" s="1"/>
  <c r="H32" i="2"/>
  <c r="F62" i="2" s="1"/>
  <c r="H29" i="13" l="1"/>
  <c r="I29" i="13" s="1"/>
  <c r="H32" i="13"/>
  <c r="I32" i="13" s="1"/>
  <c r="H10" i="2"/>
  <c r="I9" i="2"/>
  <c r="G22" i="2" s="1"/>
  <c r="H34" i="13"/>
  <c r="I34" i="13" s="1"/>
  <c r="H30" i="13"/>
  <c r="H33" i="13"/>
  <c r="I33" i="13" s="1"/>
  <c r="H9" i="2"/>
  <c r="G30" i="11"/>
  <c r="C4" i="51" s="1"/>
  <c r="F22" i="2" l="1"/>
  <c r="C5" i="34"/>
  <c r="F4" i="24" l="1"/>
  <c r="G30" i="13"/>
  <c r="L8" i="34"/>
  <c r="E12" i="35" s="1"/>
  <c r="F12" i="35" s="1"/>
  <c r="L11" i="34"/>
  <c r="E15" i="35" s="1"/>
  <c r="F15" i="35" s="1"/>
  <c r="G15" i="35" s="1"/>
  <c r="L10" i="34"/>
  <c r="E14" i="35" s="1"/>
  <c r="F14" i="35" s="1"/>
  <c r="G14" i="35" s="1"/>
  <c r="L12" i="34"/>
  <c r="E16" i="35" s="1"/>
  <c r="F16" i="35" s="1"/>
  <c r="G16" i="35" s="1"/>
  <c r="L5" i="34"/>
  <c r="E9" i="35" s="1"/>
  <c r="F9" i="35" s="1"/>
  <c r="H14" i="34"/>
  <c r="F14" i="34"/>
  <c r="L9" i="34"/>
  <c r="E13" i="35" s="1"/>
  <c r="F13" i="35" s="1"/>
  <c r="G13" i="35" s="1"/>
  <c r="L7" i="34"/>
  <c r="E11" i="35" s="1"/>
  <c r="F11" i="35" s="1"/>
  <c r="L6" i="34"/>
  <c r="E10" i="35" s="1"/>
  <c r="F10" i="35" s="1"/>
  <c r="G10" i="35" s="1"/>
  <c r="D14" i="34"/>
  <c r="L13" i="34"/>
  <c r="E17" i="35" s="1"/>
  <c r="F17" i="35" s="1"/>
  <c r="G17" i="35" s="1"/>
  <c r="I14" i="34"/>
  <c r="J14" i="34"/>
  <c r="G14" i="34"/>
  <c r="E14" i="34"/>
  <c r="C9" i="35"/>
  <c r="D25" i="35" l="1"/>
  <c r="G15" i="34"/>
  <c r="E25" i="35" s="1"/>
  <c r="F25" i="35" s="1"/>
  <c r="D27" i="35"/>
  <c r="I15" i="34"/>
  <c r="E27" i="35" s="1"/>
  <c r="F27" i="35" s="1"/>
  <c r="D23" i="35"/>
  <c r="E15" i="34"/>
  <c r="E23" i="35" s="1"/>
  <c r="F23" i="35" s="1"/>
  <c r="D28" i="35"/>
  <c r="J15" i="34"/>
  <c r="E28" i="35" s="1"/>
  <c r="F28" i="35" s="1"/>
  <c r="D22" i="35"/>
  <c r="D15" i="34"/>
  <c r="E22" i="35" s="1"/>
  <c r="F22" i="35" s="1"/>
  <c r="G9" i="35"/>
  <c r="O10" i="35"/>
  <c r="J9" i="35"/>
  <c r="I30" i="13"/>
  <c r="H9" i="16"/>
  <c r="F22" i="16" s="1"/>
  <c r="D24" i="35"/>
  <c r="F15" i="34"/>
  <c r="E24" i="35" s="1"/>
  <c r="F24" i="35" s="1"/>
  <c r="D26" i="35"/>
  <c r="H15" i="34"/>
  <c r="E26" i="35" s="1"/>
  <c r="F26" i="35" s="1"/>
  <c r="G23" i="35" l="1"/>
  <c r="I23" i="35"/>
  <c r="J23" i="35" s="1"/>
  <c r="G28" i="35"/>
  <c r="I28" i="35"/>
  <c r="J28" i="35" s="1"/>
  <c r="G24" i="35"/>
  <c r="I24" i="35"/>
  <c r="J24" i="35" s="1"/>
  <c r="N24" i="35" s="1"/>
  <c r="N9" i="35"/>
  <c r="N10" i="35"/>
  <c r="I26" i="35"/>
  <c r="J26" i="35" s="1"/>
  <c r="N26" i="35" s="1"/>
  <c r="G26" i="35"/>
  <c r="G27" i="35"/>
  <c r="I27" i="35"/>
  <c r="J27" i="35" s="1"/>
  <c r="N27" i="35" s="1"/>
  <c r="G25" i="35"/>
  <c r="I25" i="35"/>
  <c r="J25" i="35" s="1"/>
  <c r="N25" i="35" s="1"/>
  <c r="I22" i="35"/>
  <c r="J22" i="35" s="1"/>
  <c r="N22" i="35" s="1"/>
  <c r="G22" i="35"/>
  <c r="N23" i="35" l="1"/>
  <c r="N29" i="35"/>
  <c r="N30" i="35"/>
  <c r="N28" i="35"/>
  <c r="P9" i="35"/>
  <c r="Q10" i="35" s="1"/>
  <c r="K51" i="1" l="1"/>
  <c r="G44" i="52" s="1"/>
  <c r="K23" i="1"/>
  <c r="G23" i="52" s="1"/>
  <c r="Q9" i="35"/>
  <c r="P22" i="35"/>
  <c r="Q28" i="35" s="1"/>
  <c r="K20" i="1" l="1"/>
  <c r="G20" i="52" s="1"/>
  <c r="K49" i="1"/>
  <c r="G42" i="52" s="1"/>
  <c r="K47" i="1"/>
  <c r="G40" i="52" s="1"/>
  <c r="K9" i="1"/>
  <c r="G9" i="52" s="1"/>
  <c r="K11" i="1"/>
  <c r="G11" i="52" s="1"/>
  <c r="K13" i="1"/>
  <c r="G13" i="52" s="1"/>
  <c r="K14" i="1"/>
  <c r="G14" i="52" s="1"/>
  <c r="K46" i="1"/>
  <c r="G39" i="52" s="1"/>
  <c r="K12" i="1"/>
  <c r="G12" i="52" s="1"/>
  <c r="K21" i="1"/>
  <c r="G21" i="52" s="1"/>
  <c r="K10" i="1"/>
  <c r="G10" i="52" s="1"/>
  <c r="U6" i="50"/>
  <c r="U14" i="50"/>
  <c r="Q25" i="35"/>
  <c r="Q22" i="35"/>
  <c r="Q24" i="35"/>
  <c r="K48" i="1" s="1"/>
  <c r="G41" i="52" s="1"/>
  <c r="Q27" i="35"/>
  <c r="K50" i="1" s="1"/>
  <c r="G43" i="52" s="1"/>
  <c r="Q26" i="35"/>
  <c r="Q29" i="35"/>
  <c r="K26" i="1" s="1"/>
  <c r="G26" i="52" s="1"/>
  <c r="Q23" i="35"/>
  <c r="R9" i="35"/>
  <c r="Q30" i="35"/>
  <c r="K24" i="1" l="1"/>
  <c r="G24" i="52" s="1"/>
  <c r="K25" i="1"/>
  <c r="G25" i="52" s="1"/>
  <c r="K17" i="1"/>
  <c r="G17" i="52" s="1"/>
  <c r="K32" i="1"/>
  <c r="G32" i="52" s="1"/>
  <c r="K29" i="1"/>
  <c r="G29" i="52" s="1"/>
  <c r="K22" i="1"/>
  <c r="G22" i="52" s="1"/>
  <c r="K16" i="1"/>
  <c r="G16" i="52" s="1"/>
  <c r="K18" i="1"/>
  <c r="G18" i="52" s="1"/>
  <c r="K15" i="1"/>
  <c r="G15" i="52" s="1"/>
  <c r="K19" i="1"/>
  <c r="G19" i="52" s="1"/>
  <c r="U7" i="50"/>
  <c r="U9" i="50"/>
  <c r="L19" i="50"/>
  <c r="U13" i="50"/>
  <c r="U15" i="50"/>
  <c r="U8" i="50"/>
  <c r="U10" i="50"/>
  <c r="R22" i="35"/>
  <c r="F22" i="50" l="1"/>
  <c r="F21" i="50"/>
  <c r="G19" i="50"/>
  <c r="H19" i="50"/>
  <c r="F19" i="50"/>
  <c r="I19" i="50"/>
  <c r="M19" i="50"/>
  <c r="J19" i="50"/>
  <c r="E19" i="50"/>
  <c r="K19" i="50"/>
  <c r="F24" i="50" l="1"/>
  <c r="F26" i="50" s="1"/>
  <c r="L30" i="50" s="1"/>
  <c r="F23" i="50"/>
  <c r="F25" i="50" s="1"/>
  <c r="L29" i="50" s="1"/>
  <c r="G39" i="16"/>
  <c r="L31" i="50" l="1"/>
  <c r="K32" i="50" s="1"/>
  <c r="G56" i="16"/>
  <c r="G14" i="16"/>
  <c r="G15" i="16"/>
  <c r="G43" i="16"/>
  <c r="G13" i="16"/>
  <c r="G41" i="16"/>
  <c r="G40" i="16"/>
  <c r="G38" i="16"/>
  <c r="G44" i="16"/>
  <c r="G45" i="16"/>
  <c r="G11" i="16"/>
  <c r="G42" i="16"/>
  <c r="G34" i="16"/>
  <c r="G46" i="16"/>
  <c r="G17" i="16"/>
  <c r="G37" i="16"/>
  <c r="G12" i="16"/>
  <c r="G47" i="16"/>
  <c r="G36" i="16"/>
  <c r="G18" i="16"/>
  <c r="G55" i="16" l="1"/>
  <c r="G9" i="16"/>
  <c r="G52" i="16"/>
  <c r="G10" i="16"/>
  <c r="G50" i="16"/>
  <c r="G35" i="16"/>
  <c r="G16" i="16"/>
  <c r="G49" i="16"/>
  <c r="G48" i="16"/>
  <c r="G32" i="16"/>
  <c r="G54" i="16"/>
  <c r="G51" i="16"/>
  <c r="G53" i="16"/>
  <c r="D65" i="16"/>
  <c r="E65" i="16" s="1"/>
  <c r="J36" i="16" s="1"/>
  <c r="G33" i="16"/>
  <c r="D63" i="16"/>
  <c r="E63" i="16" s="1"/>
  <c r="J35" i="16" s="1"/>
  <c r="D22" i="16" l="1"/>
  <c r="E22" i="16" s="1"/>
  <c r="J14" i="16" s="1"/>
  <c r="D64" i="16"/>
  <c r="E64" i="16" s="1"/>
  <c r="J34" i="16" s="1"/>
  <c r="D68" i="16"/>
  <c r="E68" i="16" s="1"/>
  <c r="J40" i="16" s="1"/>
  <c r="D66" i="16"/>
  <c r="E66" i="16" s="1"/>
  <c r="J51" i="16" s="1"/>
  <c r="D67" i="16"/>
  <c r="E67" i="16" s="1"/>
  <c r="J53" i="16" s="1"/>
  <c r="D62" i="16"/>
  <c r="E62" i="16" s="1"/>
  <c r="J32" i="16" s="1"/>
  <c r="J38" i="16"/>
  <c r="C24" i="16"/>
  <c r="J9" i="16" l="1"/>
  <c r="J17" i="16"/>
  <c r="J16" i="16"/>
  <c r="J12" i="16"/>
  <c r="J13" i="16"/>
  <c r="J10" i="16"/>
  <c r="J15" i="16"/>
  <c r="J11" i="16"/>
  <c r="J18" i="16"/>
  <c r="J37" i="16"/>
  <c r="J33" i="16"/>
  <c r="J54" i="16"/>
  <c r="J47" i="16"/>
  <c r="J55" i="16"/>
  <c r="J56" i="16"/>
  <c r="J42" i="16"/>
  <c r="J52" i="16"/>
  <c r="J43" i="16"/>
  <c r="J50" i="16"/>
  <c r="J49" i="16"/>
  <c r="J41" i="16"/>
  <c r="J45" i="16"/>
  <c r="J48" i="16"/>
  <c r="J39" i="16"/>
  <c r="J46" i="16"/>
  <c r="J44" i="16"/>
  <c r="C70" i="16"/>
  <c r="C25" i="16"/>
  <c r="C71" i="16"/>
  <c r="C72" i="16" s="1"/>
  <c r="L55" i="16" l="1"/>
  <c r="L40" i="16"/>
  <c r="L38" i="16"/>
  <c r="L32" i="16"/>
  <c r="L37" i="16"/>
  <c r="L45" i="16"/>
  <c r="L48" i="16"/>
  <c r="L53" i="16"/>
  <c r="L41" i="16"/>
  <c r="L42" i="16"/>
  <c r="L33" i="16"/>
  <c r="L43" i="16"/>
  <c r="L34" i="16"/>
  <c r="L51" i="16"/>
  <c r="L47" i="16"/>
  <c r="L52" i="16"/>
  <c r="L49" i="16"/>
  <c r="L36" i="16"/>
  <c r="L54" i="16"/>
  <c r="L50" i="16"/>
  <c r="L44" i="16"/>
  <c r="L46" i="16"/>
  <c r="L39" i="16"/>
  <c r="L35" i="16"/>
  <c r="L56" i="16"/>
  <c r="C26" i="16"/>
  <c r="O51" i="16" l="1"/>
  <c r="O52" i="16"/>
  <c r="O53" i="16"/>
  <c r="O47" i="16"/>
  <c r="O46" i="16"/>
  <c r="O45" i="16"/>
  <c r="O44" i="16"/>
  <c r="O34" i="16"/>
  <c r="O37" i="16"/>
  <c r="O39" i="16"/>
  <c r="O50" i="16"/>
  <c r="O43" i="16"/>
  <c r="O32" i="16"/>
  <c r="O48" i="16"/>
  <c r="O42" i="16"/>
  <c r="O40" i="16"/>
  <c r="O35" i="16"/>
  <c r="L10" i="16"/>
  <c r="L17" i="16"/>
  <c r="L15" i="16"/>
  <c r="L13" i="16"/>
  <c r="L14" i="16"/>
  <c r="L9" i="16"/>
  <c r="L12" i="16"/>
  <c r="L11" i="16"/>
  <c r="L16" i="16"/>
  <c r="L18" i="16"/>
  <c r="O54" i="16"/>
  <c r="O33" i="16"/>
  <c r="O38" i="16"/>
  <c r="O36" i="16"/>
  <c r="O56" i="16"/>
  <c r="O49" i="16"/>
  <c r="O41" i="16"/>
  <c r="O55" i="16"/>
  <c r="O9" i="16" l="1"/>
  <c r="O14" i="16"/>
  <c r="O13" i="16"/>
  <c r="O15" i="16"/>
  <c r="O17" i="16"/>
  <c r="O16" i="16"/>
  <c r="O11" i="16"/>
  <c r="O18" i="16"/>
  <c r="O10" i="16"/>
  <c r="O12" i="16"/>
  <c r="C27" i="16" l="1"/>
  <c r="R15" i="16" s="1"/>
  <c r="U15" i="16" s="1"/>
  <c r="R16" i="16" l="1"/>
  <c r="U16" i="16" s="1"/>
  <c r="R10" i="16"/>
  <c r="U10" i="16" s="1"/>
  <c r="R18" i="16"/>
  <c r="U18" i="16" s="1"/>
  <c r="R17" i="16"/>
  <c r="U17" i="16" s="1"/>
  <c r="R11" i="16"/>
  <c r="U11" i="16" s="1"/>
  <c r="R9" i="16"/>
  <c r="U9" i="16" s="1"/>
  <c r="R14" i="16"/>
  <c r="U14" i="16" s="1"/>
  <c r="R12" i="16"/>
  <c r="U12" i="16" s="1"/>
  <c r="C73" i="16"/>
  <c r="Q9" i="16"/>
  <c r="T9" i="16" s="1"/>
  <c r="Q13" i="16"/>
  <c r="T13" i="16" s="1"/>
  <c r="Q10" i="16"/>
  <c r="T10" i="16" s="1"/>
  <c r="Q12" i="16"/>
  <c r="T12" i="16" s="1"/>
  <c r="Q14" i="16"/>
  <c r="T14" i="16" s="1"/>
  <c r="Q16" i="16"/>
  <c r="T16" i="16" s="1"/>
  <c r="Q11" i="16"/>
  <c r="T11" i="16" s="1"/>
  <c r="Q17" i="16"/>
  <c r="T17" i="16" s="1"/>
  <c r="Q18" i="16"/>
  <c r="T18" i="16" s="1"/>
  <c r="Q15" i="16"/>
  <c r="T15" i="16" s="1"/>
  <c r="R13" i="16"/>
  <c r="U13" i="16" s="1"/>
  <c r="U19" i="16" l="1"/>
  <c r="T19" i="16"/>
  <c r="Q51" i="16"/>
  <c r="T51" i="16" s="1"/>
  <c r="Q37" i="16"/>
  <c r="T37" i="16" s="1"/>
  <c r="Q35" i="16"/>
  <c r="T35" i="16" s="1"/>
  <c r="Q38" i="16"/>
  <c r="T38" i="16" s="1"/>
  <c r="Q41" i="16"/>
  <c r="T41" i="16" s="1"/>
  <c r="Q45" i="16"/>
  <c r="T45" i="16" s="1"/>
  <c r="Q48" i="16"/>
  <c r="T48" i="16" s="1"/>
  <c r="Q46" i="16"/>
  <c r="T46" i="16" s="1"/>
  <c r="Q32" i="16"/>
  <c r="T32" i="16" s="1"/>
  <c r="Q55" i="16"/>
  <c r="T55" i="16" s="1"/>
  <c r="Q36" i="16"/>
  <c r="T36" i="16" s="1"/>
  <c r="Q40" i="16"/>
  <c r="T40" i="16" s="1"/>
  <c r="Q49" i="16"/>
  <c r="T49" i="16" s="1"/>
  <c r="Q52" i="16"/>
  <c r="Q39" i="16"/>
  <c r="T39" i="16" s="1"/>
  <c r="Q53" i="16"/>
  <c r="Q44" i="16"/>
  <c r="T44" i="16" s="1"/>
  <c r="Q56" i="16"/>
  <c r="T56" i="16" s="1"/>
  <c r="Q43" i="16"/>
  <c r="T43" i="16" s="1"/>
  <c r="Q33" i="16"/>
  <c r="T33" i="16" s="1"/>
  <c r="Q50" i="16"/>
  <c r="T50" i="16" s="1"/>
  <c r="Q42" i="16"/>
  <c r="T42" i="16" s="1"/>
  <c r="Q54" i="16"/>
  <c r="T54" i="16" s="1"/>
  <c r="Q47" i="16"/>
  <c r="T47" i="16" s="1"/>
  <c r="Q34" i="16"/>
  <c r="T34" i="16" s="1"/>
  <c r="R50" i="16"/>
  <c r="U50" i="16" s="1"/>
  <c r="R49" i="16"/>
  <c r="U49" i="16" s="1"/>
  <c r="R37" i="16"/>
  <c r="U37" i="16" s="1"/>
  <c r="R44" i="16"/>
  <c r="U44" i="16" s="1"/>
  <c r="R53" i="16"/>
  <c r="R55" i="16"/>
  <c r="U55" i="16" s="1"/>
  <c r="R33" i="16"/>
  <c r="U33" i="16" s="1"/>
  <c r="R39" i="16"/>
  <c r="U39" i="16" s="1"/>
  <c r="R34" i="16"/>
  <c r="U34" i="16" s="1"/>
  <c r="R32" i="16"/>
  <c r="U32" i="16" s="1"/>
  <c r="R48" i="16"/>
  <c r="U48" i="16" s="1"/>
  <c r="R36" i="16"/>
  <c r="U36" i="16" s="1"/>
  <c r="R40" i="16"/>
  <c r="U40" i="16" s="1"/>
  <c r="R51" i="16"/>
  <c r="U51" i="16" s="1"/>
  <c r="R41" i="16"/>
  <c r="U41" i="16" s="1"/>
  <c r="R56" i="16"/>
  <c r="U56" i="16" s="1"/>
  <c r="R46" i="16"/>
  <c r="U46" i="16" s="1"/>
  <c r="R52" i="16"/>
  <c r="R43" i="16"/>
  <c r="U43" i="16" s="1"/>
  <c r="R47" i="16"/>
  <c r="U47" i="16" s="1"/>
  <c r="R54" i="16"/>
  <c r="U54" i="16" s="1"/>
  <c r="R38" i="16"/>
  <c r="U38" i="16" s="1"/>
  <c r="R45" i="16"/>
  <c r="U45" i="16" s="1"/>
  <c r="R42" i="16"/>
  <c r="U42" i="16" s="1"/>
  <c r="R35" i="16"/>
  <c r="U35" i="16" s="1"/>
  <c r="T52" i="16" l="1"/>
  <c r="Q57" i="16"/>
  <c r="U53" i="16"/>
  <c r="R58" i="16"/>
  <c r="U52" i="16"/>
  <c r="R57" i="16"/>
  <c r="T53" i="16"/>
  <c r="Q58" i="16"/>
  <c r="U57" i="16" l="1"/>
  <c r="T57" i="16"/>
  <c r="U23" i="16" l="1"/>
  <c r="N3" i="2" s="1"/>
  <c r="C3" i="2" l="1"/>
  <c r="C25" i="2" s="1"/>
  <c r="C71" i="2" s="1"/>
  <c r="C26" i="2"/>
  <c r="C27" i="2" s="1"/>
  <c r="O16" i="2" l="1"/>
  <c r="O15" i="2"/>
  <c r="O12" i="2"/>
  <c r="O9" i="2"/>
  <c r="O10" i="2"/>
  <c r="O13" i="2"/>
  <c r="O17" i="2"/>
  <c r="O14" i="2"/>
  <c r="O18" i="2"/>
  <c r="O11" i="2"/>
  <c r="C72" i="2"/>
  <c r="C73" i="2" s="1"/>
  <c r="S14" i="2" l="1"/>
  <c r="AF14" i="2" s="1"/>
  <c r="Q14" i="2"/>
  <c r="U14" i="2" s="1"/>
  <c r="S17" i="2"/>
  <c r="P17" i="2"/>
  <c r="S13" i="2"/>
  <c r="AF13" i="2" s="1"/>
  <c r="Q13" i="2"/>
  <c r="U13" i="2" s="1"/>
  <c r="S10" i="2"/>
  <c r="P10" i="2"/>
  <c r="S9" i="2"/>
  <c r="P9" i="2"/>
  <c r="S15" i="2"/>
  <c r="P15" i="2"/>
  <c r="O32" i="2"/>
  <c r="O35" i="2"/>
  <c r="S35" i="2" s="1"/>
  <c r="O33" i="2"/>
  <c r="O56" i="2"/>
  <c r="O49" i="2"/>
  <c r="O44" i="2"/>
  <c r="O52" i="2"/>
  <c r="O50" i="2"/>
  <c r="O48" i="2"/>
  <c r="O43" i="2"/>
  <c r="O41" i="2"/>
  <c r="O36" i="2"/>
  <c r="O46" i="2"/>
  <c r="O34" i="2"/>
  <c r="O37" i="2"/>
  <c r="O39" i="2"/>
  <c r="O47" i="2"/>
  <c r="O55" i="2"/>
  <c r="O42" i="2"/>
  <c r="O45" i="2"/>
  <c r="O40" i="2"/>
  <c r="O38" i="2"/>
  <c r="O54" i="2"/>
  <c r="O53" i="2"/>
  <c r="O51" i="2"/>
  <c r="S12" i="2"/>
  <c r="P12" i="2"/>
  <c r="S11" i="2"/>
  <c r="P11" i="2"/>
  <c r="Q18" i="2"/>
  <c r="U18" i="2" s="1"/>
  <c r="S18" i="2"/>
  <c r="AF18" i="2" s="1"/>
  <c r="S16" i="2"/>
  <c r="P16" i="2"/>
  <c r="S37" i="2" l="1"/>
  <c r="P37" i="2"/>
  <c r="P45" i="2"/>
  <c r="S45" i="2"/>
  <c r="P36" i="2"/>
  <c r="S36" i="2"/>
  <c r="S56" i="2"/>
  <c r="P56" i="2"/>
  <c r="T10" i="2"/>
  <c r="Q10" i="2"/>
  <c r="U10" i="2" s="1"/>
  <c r="S54" i="2"/>
  <c r="P54" i="2"/>
  <c r="S42" i="2"/>
  <c r="P42" i="2"/>
  <c r="P33" i="2"/>
  <c r="S33" i="2"/>
  <c r="Q12" i="2"/>
  <c r="U12" i="2" s="1"/>
  <c r="T12" i="2"/>
  <c r="AI12" i="2" s="1"/>
  <c r="S41" i="2"/>
  <c r="P41" i="2"/>
  <c r="P55" i="2"/>
  <c r="S55" i="2"/>
  <c r="P43" i="2"/>
  <c r="S43" i="2"/>
  <c r="T16" i="2"/>
  <c r="AI16" i="2" s="1"/>
  <c r="Q16" i="2"/>
  <c r="U16" i="2" s="1"/>
  <c r="S51" i="2"/>
  <c r="P51" i="2"/>
  <c r="S47" i="2"/>
  <c r="P47" i="2"/>
  <c r="S48" i="2"/>
  <c r="P48" i="2"/>
  <c r="S32" i="2"/>
  <c r="P32" i="2"/>
  <c r="AG13" i="2"/>
  <c r="S53" i="2"/>
  <c r="P53" i="2"/>
  <c r="S39" i="2"/>
  <c r="P39" i="2"/>
  <c r="S50" i="2"/>
  <c r="P50" i="2"/>
  <c r="T15" i="2"/>
  <c r="Q15" i="2"/>
  <c r="U15" i="2" s="1"/>
  <c r="T17" i="2"/>
  <c r="Q17" i="2"/>
  <c r="U17" i="2" s="1"/>
  <c r="AG18" i="2"/>
  <c r="S52" i="2"/>
  <c r="P52" i="2"/>
  <c r="P38" i="2"/>
  <c r="S38" i="2"/>
  <c r="Q9" i="2"/>
  <c r="S34" i="2"/>
  <c r="P34" i="2"/>
  <c r="P44" i="2"/>
  <c r="S44" i="2"/>
  <c r="T11" i="2"/>
  <c r="AI11" i="2" s="1"/>
  <c r="Q11" i="2"/>
  <c r="U11" i="2" s="1"/>
  <c r="S40" i="2"/>
  <c r="P40" i="2"/>
  <c r="P46" i="2"/>
  <c r="S46" i="2"/>
  <c r="S49" i="2"/>
  <c r="P49" i="2"/>
  <c r="T9" i="2"/>
  <c r="AG14" i="2"/>
  <c r="Q40" i="2" l="1"/>
  <c r="U40" i="2" s="1"/>
  <c r="T40" i="2"/>
  <c r="AI40" i="2" s="1"/>
  <c r="AJ13" i="2"/>
  <c r="Q39" i="2"/>
  <c r="U39" i="2" s="1"/>
  <c r="T39" i="2"/>
  <c r="AI39" i="2" s="1"/>
  <c r="Q42" i="2"/>
  <c r="U42" i="2" s="1"/>
  <c r="T42" i="2"/>
  <c r="AI42" i="2" s="1"/>
  <c r="T38" i="2"/>
  <c r="AI38" i="2" s="1"/>
  <c r="Q38" i="2"/>
  <c r="U38" i="2" s="1"/>
  <c r="Q53" i="2"/>
  <c r="U53" i="2" s="1"/>
  <c r="T53" i="2"/>
  <c r="T54" i="2"/>
  <c r="Q54" i="2"/>
  <c r="U54" i="2" s="1"/>
  <c r="Q36" i="2"/>
  <c r="U36" i="2" s="1"/>
  <c r="T36" i="2"/>
  <c r="AI36" i="2" s="1"/>
  <c r="Q49" i="2"/>
  <c r="U49" i="2" s="1"/>
  <c r="T49" i="2"/>
  <c r="AI49" i="2" s="1"/>
  <c r="T44" i="2"/>
  <c r="AI44" i="2" s="1"/>
  <c r="Q44" i="2"/>
  <c r="U44" i="2" s="1"/>
  <c r="Q47" i="2"/>
  <c r="U47" i="2" s="1"/>
  <c r="T47" i="2"/>
  <c r="AI47" i="2" s="1"/>
  <c r="Q43" i="2"/>
  <c r="U43" i="2" s="1"/>
  <c r="T43" i="2"/>
  <c r="AI43" i="2" s="1"/>
  <c r="Q48" i="2"/>
  <c r="U48" i="2" s="1"/>
  <c r="T48" i="2"/>
  <c r="AI48" i="2" s="1"/>
  <c r="Q46" i="2"/>
  <c r="U46" i="2" s="1"/>
  <c r="T46" i="2"/>
  <c r="AI46" i="2" s="1"/>
  <c r="Q34" i="2"/>
  <c r="U34" i="2" s="1"/>
  <c r="T34" i="2"/>
  <c r="T52" i="2"/>
  <c r="AI52" i="2" s="1"/>
  <c r="Q52" i="2"/>
  <c r="U52" i="2" s="1"/>
  <c r="Q45" i="2"/>
  <c r="U45" i="2" s="1"/>
  <c r="T45" i="2"/>
  <c r="AI45" i="2" s="1"/>
  <c r="AJ14" i="2"/>
  <c r="T51" i="2"/>
  <c r="AI51" i="2" s="1"/>
  <c r="Q51" i="2"/>
  <c r="U51" i="2" s="1"/>
  <c r="Q55" i="2"/>
  <c r="U55" i="2" s="1"/>
  <c r="T55" i="2"/>
  <c r="Q50" i="2"/>
  <c r="U50" i="2" s="1"/>
  <c r="T50" i="2"/>
  <c r="AI50" i="2" s="1"/>
  <c r="T37" i="2"/>
  <c r="Q37" i="2"/>
  <c r="U37" i="2" s="1"/>
  <c r="U9" i="2"/>
  <c r="U19" i="2" s="1"/>
  <c r="Q19" i="2"/>
  <c r="AJ18" i="2"/>
  <c r="T32" i="2"/>
  <c r="Q32" i="2"/>
  <c r="Q41" i="2"/>
  <c r="U41" i="2" s="1"/>
  <c r="T41" i="2"/>
  <c r="AI41" i="2" s="1"/>
  <c r="T33" i="2"/>
  <c r="Q33" i="2"/>
  <c r="U33" i="2" s="1"/>
  <c r="Q56" i="2"/>
  <c r="U56" i="2" s="1"/>
  <c r="T56" i="2"/>
  <c r="U20" i="2" l="1"/>
  <c r="Q59" i="2"/>
  <c r="U32" i="2"/>
  <c r="U59" i="2" s="1"/>
  <c r="U60" i="2" l="1"/>
  <c r="S62" i="2" s="1"/>
  <c r="S63" i="2" s="1"/>
  <c r="V35" i="2" l="1"/>
  <c r="V18" i="2"/>
  <c r="V13" i="2"/>
  <c r="V14" i="2"/>
  <c r="V10" i="2"/>
  <c r="V12" i="2"/>
  <c r="V11" i="2"/>
  <c r="V17" i="2"/>
  <c r="V16" i="2"/>
  <c r="V9" i="2"/>
  <c r="V15" i="2"/>
  <c r="V40" i="2"/>
  <c r="V51" i="2"/>
  <c r="V45" i="2"/>
  <c r="V49" i="2"/>
  <c r="V34" i="2"/>
  <c r="W9" i="2"/>
  <c r="V56" i="2"/>
  <c r="V32" i="2"/>
  <c r="V42" i="2"/>
  <c r="V41" i="2"/>
  <c r="V38" i="2"/>
  <c r="V48" i="2"/>
  <c r="V33" i="2"/>
  <c r="V54" i="2"/>
  <c r="V47" i="2"/>
  <c r="V52" i="2"/>
  <c r="V55" i="2"/>
  <c r="V37" i="2"/>
  <c r="V39" i="2"/>
  <c r="V43" i="2"/>
  <c r="V53" i="2"/>
  <c r="V36" i="2"/>
  <c r="V44" i="2"/>
  <c r="V46" i="2"/>
  <c r="V50" i="2"/>
  <c r="W34" i="2" l="1"/>
  <c r="X34" i="2"/>
  <c r="W12" i="2"/>
  <c r="AA12" i="2" s="1"/>
  <c r="X12" i="2"/>
  <c r="W33" i="2"/>
  <c r="X33" i="2"/>
  <c r="W43" i="2"/>
  <c r="X43" i="2"/>
  <c r="X39" i="2"/>
  <c r="W39" i="2"/>
  <c r="X41" i="2"/>
  <c r="V57" i="2"/>
  <c r="W41" i="2"/>
  <c r="X10" i="2"/>
  <c r="W10" i="2"/>
  <c r="X49" i="2"/>
  <c r="W49" i="2"/>
  <c r="W50" i="2"/>
  <c r="X50" i="2"/>
  <c r="W14" i="2"/>
  <c r="Z14" i="2"/>
  <c r="X48" i="2"/>
  <c r="W48" i="2"/>
  <c r="W38" i="2"/>
  <c r="AA38" i="2" s="1"/>
  <c r="X38" i="2"/>
  <c r="W51" i="2"/>
  <c r="X51" i="2"/>
  <c r="X55" i="2"/>
  <c r="W55" i="2"/>
  <c r="W42" i="2"/>
  <c r="X42" i="2"/>
  <c r="W40" i="2"/>
  <c r="X40" i="2"/>
  <c r="X46" i="2"/>
  <c r="W46" i="2"/>
  <c r="W52" i="2"/>
  <c r="X52" i="2"/>
  <c r="X32" i="2"/>
  <c r="W32" i="2"/>
  <c r="V59" i="2"/>
  <c r="W15" i="2"/>
  <c r="X15" i="2"/>
  <c r="Z13" i="2"/>
  <c r="W13" i="2"/>
  <c r="W17" i="2"/>
  <c r="X17" i="2"/>
  <c r="X45" i="2"/>
  <c r="W45" i="2"/>
  <c r="AA45" i="2" s="1"/>
  <c r="X44" i="2"/>
  <c r="W44" i="2"/>
  <c r="W47" i="2"/>
  <c r="X47" i="2"/>
  <c r="X56" i="2"/>
  <c r="W56" i="2"/>
  <c r="V19" i="2"/>
  <c r="X9" i="2"/>
  <c r="Z18" i="2"/>
  <c r="W18" i="2"/>
  <c r="V58" i="2"/>
  <c r="W53" i="2"/>
  <c r="W58" i="2" s="1"/>
  <c r="X53" i="2"/>
  <c r="X11" i="2"/>
  <c r="W11" i="2"/>
  <c r="W37" i="2"/>
  <c r="X37" i="2"/>
  <c r="X36" i="2"/>
  <c r="W36" i="2"/>
  <c r="X54" i="2"/>
  <c r="W54" i="2"/>
  <c r="AA9" i="2"/>
  <c r="X16" i="2"/>
  <c r="W16" i="2"/>
  <c r="W35" i="2"/>
  <c r="X35" i="2"/>
  <c r="W19" i="2" l="1"/>
  <c r="W20" i="2" s="1"/>
  <c r="Z49" i="2"/>
  <c r="AC49" i="2" s="1"/>
  <c r="Y49" i="2"/>
  <c r="AB49" i="2" s="1"/>
  <c r="Y43" i="2"/>
  <c r="AB43" i="2" s="1"/>
  <c r="Z43" i="2"/>
  <c r="AC43" i="2" s="1"/>
  <c r="Y42" i="2"/>
  <c r="AB42" i="2" s="1"/>
  <c r="Z42" i="2"/>
  <c r="AC42" i="2" s="1"/>
  <c r="Y11" i="2"/>
  <c r="Z11" i="2"/>
  <c r="AC11" i="2" s="1"/>
  <c r="Y32" i="2"/>
  <c r="AB32" i="2" s="1"/>
  <c r="Z32" i="2"/>
  <c r="Y48" i="2"/>
  <c r="AB48" i="2" s="1"/>
  <c r="Z48" i="2"/>
  <c r="AC48" i="2" s="1"/>
  <c r="Y10" i="2"/>
  <c r="Z10" i="2"/>
  <c r="AC10" i="2" s="1"/>
  <c r="Y33" i="2"/>
  <c r="AB33" i="2" s="1"/>
  <c r="Z33" i="2"/>
  <c r="AC33" i="2" s="1"/>
  <c r="Y17" i="2"/>
  <c r="Z17" i="2"/>
  <c r="AC17" i="2" s="1"/>
  <c r="Z53" i="2"/>
  <c r="Y53" i="2"/>
  <c r="AB53" i="2" s="1"/>
  <c r="Z56" i="2"/>
  <c r="AC56" i="2" s="1"/>
  <c r="Y56" i="2"/>
  <c r="AB56" i="2" s="1"/>
  <c r="Z52" i="2"/>
  <c r="AC52" i="2" s="1"/>
  <c r="Y52" i="2"/>
  <c r="AB52" i="2" s="1"/>
  <c r="AC14" i="2"/>
  <c r="W57" i="2"/>
  <c r="AA41" i="2"/>
  <c r="Z16" i="2"/>
  <c r="AC16" i="2" s="1"/>
  <c r="Y16" i="2"/>
  <c r="AB9" i="2"/>
  <c r="AC9" i="2"/>
  <c r="Z47" i="2"/>
  <c r="AC47" i="2" s="1"/>
  <c r="Y47" i="2"/>
  <c r="AB47" i="2" s="1"/>
  <c r="Z55" i="2"/>
  <c r="AC55" i="2" s="1"/>
  <c r="Y55" i="2"/>
  <c r="AB55" i="2" s="1"/>
  <c r="Z12" i="2"/>
  <c r="AC12" i="2" s="1"/>
  <c r="Y12" i="2"/>
  <c r="Z35" i="2"/>
  <c r="Y35" i="2"/>
  <c r="AB35" i="2" s="1"/>
  <c r="AC13" i="2"/>
  <c r="Z51" i="2"/>
  <c r="AC51" i="2" s="1"/>
  <c r="Y51" i="2"/>
  <c r="AB51" i="2" s="1"/>
  <c r="Z50" i="2"/>
  <c r="AC50" i="2" s="1"/>
  <c r="Y50" i="2"/>
  <c r="AB50" i="2" s="1"/>
  <c r="Z41" i="2"/>
  <c r="Y41" i="2"/>
  <c r="AB41" i="2" s="1"/>
  <c r="W59" i="2"/>
  <c r="W60" i="2" s="1"/>
  <c r="Z54" i="2"/>
  <c r="AC54" i="2" s="1"/>
  <c r="Y54" i="2"/>
  <c r="AB54" i="2" s="1"/>
  <c r="Y36" i="2"/>
  <c r="AB36" i="2" s="1"/>
  <c r="Z36" i="2"/>
  <c r="AC36" i="2" s="1"/>
  <c r="Y15" i="2"/>
  <c r="Z15" i="2"/>
  <c r="AC15" i="2" s="1"/>
  <c r="Y46" i="2"/>
  <c r="AB46" i="2" s="1"/>
  <c r="Z46" i="2"/>
  <c r="AC46" i="2" s="1"/>
  <c r="Y34" i="2"/>
  <c r="AB34" i="2" s="1"/>
  <c r="Z34" i="2"/>
  <c r="AC34" i="2" s="1"/>
  <c r="Y9" i="2"/>
  <c r="Z9" i="2"/>
  <c r="Y45" i="2"/>
  <c r="AB45" i="2" s="1"/>
  <c r="Z45" i="2"/>
  <c r="AC45" i="2" s="1"/>
  <c r="Y37" i="2"/>
  <c r="AB37" i="2" s="1"/>
  <c r="Z37" i="2"/>
  <c r="AC37" i="2" s="1"/>
  <c r="AC18" i="2"/>
  <c r="Z44" i="2"/>
  <c r="AC44" i="2" s="1"/>
  <c r="Y44" i="2"/>
  <c r="AB44" i="2" s="1"/>
  <c r="Y40" i="2"/>
  <c r="AB40" i="2" s="1"/>
  <c r="Z40" i="2"/>
  <c r="AC40" i="2" s="1"/>
  <c r="Z38" i="2"/>
  <c r="AC38" i="2" s="1"/>
  <c r="Y38" i="2"/>
  <c r="AB38" i="2" s="1"/>
  <c r="Y39" i="2"/>
  <c r="AB39" i="2" s="1"/>
  <c r="Z39" i="2"/>
  <c r="AC39" i="2" s="1"/>
  <c r="U62" i="2" l="1"/>
  <c r="V62" i="2" s="1"/>
  <c r="Z57" i="2"/>
  <c r="AC41" i="2"/>
  <c r="AC57" i="2" s="1"/>
  <c r="AD35" i="2"/>
  <c r="AC35" i="2"/>
  <c r="AB11" i="2"/>
  <c r="AB15" i="2"/>
  <c r="AB12" i="2"/>
  <c r="AB16" i="2"/>
  <c r="Z19" i="2"/>
  <c r="AB10" i="2"/>
  <c r="AC53" i="2"/>
  <c r="AC58" i="2" s="1"/>
  <c r="Z58" i="2"/>
  <c r="Z59" i="2"/>
  <c r="AC32" i="2"/>
  <c r="AB17" i="2"/>
  <c r="AC19" i="2"/>
  <c r="AC59" i="2" l="1"/>
  <c r="Z60" i="2" s="1"/>
  <c r="AE35" i="2"/>
  <c r="AI35" i="2" s="1"/>
  <c r="AF35" i="2"/>
  <c r="Z20" i="2"/>
  <c r="AB62" i="2" l="1"/>
  <c r="AB63" i="2" s="1"/>
  <c r="AE9" i="2" s="1"/>
  <c r="AG35" i="2"/>
  <c r="AJ35" i="2" s="1"/>
  <c r="AH35" i="2"/>
  <c r="AK35" i="2" s="1"/>
  <c r="AI9" i="2" l="1"/>
  <c r="AJ9" i="2" s="1"/>
  <c r="AD15" i="2"/>
  <c r="AD17" i="2"/>
  <c r="AD10" i="2"/>
  <c r="AD16" i="2"/>
  <c r="AE16" i="2" s="1"/>
  <c r="AD33" i="2"/>
  <c r="AD37" i="2"/>
  <c r="AD34" i="2"/>
  <c r="AD14" i="2"/>
  <c r="AD13" i="2"/>
  <c r="AD18" i="2"/>
  <c r="AD12" i="2"/>
  <c r="AD42" i="2"/>
  <c r="AD41" i="2"/>
  <c r="AD49" i="2"/>
  <c r="AD40" i="2"/>
  <c r="AD51" i="2"/>
  <c r="AD48" i="2"/>
  <c r="AD50" i="2"/>
  <c r="AD44" i="2"/>
  <c r="AD55" i="2"/>
  <c r="AD39" i="2"/>
  <c r="AD11" i="2"/>
  <c r="AD54" i="2"/>
  <c r="AD47" i="2"/>
  <c r="AD32" i="2"/>
  <c r="AD52" i="2"/>
  <c r="AD43" i="2"/>
  <c r="AD45" i="2"/>
  <c r="AD9" i="2"/>
  <c r="AD56" i="2"/>
  <c r="AD36" i="2"/>
  <c r="AD38" i="2"/>
  <c r="AD46" i="2"/>
  <c r="AD53" i="2"/>
  <c r="AK9" i="2" l="1"/>
  <c r="AF16" i="2"/>
  <c r="AG16" i="2" s="1"/>
  <c r="AE10" i="2"/>
  <c r="AI10" i="2" s="1"/>
  <c r="AF10" i="2"/>
  <c r="AE17" i="2"/>
  <c r="AI17" i="2" s="1"/>
  <c r="AF17" i="2"/>
  <c r="AE15" i="2"/>
  <c r="AI15" i="2" s="1"/>
  <c r="AF15" i="2"/>
  <c r="AF34" i="2"/>
  <c r="AE34" i="2"/>
  <c r="AI34" i="2" s="1"/>
  <c r="AE37" i="2"/>
  <c r="AI37" i="2" s="1"/>
  <c r="AF37" i="2"/>
  <c r="AE33" i="2"/>
  <c r="AI33" i="2" s="1"/>
  <c r="AF33" i="2"/>
  <c r="AE46" i="2"/>
  <c r="AF46" i="2"/>
  <c r="AE51" i="2"/>
  <c r="AF51" i="2"/>
  <c r="AE52" i="2"/>
  <c r="AF52" i="2"/>
  <c r="AD59" i="2"/>
  <c r="AE32" i="2"/>
  <c r="AI32" i="2" s="1"/>
  <c r="AF32" i="2"/>
  <c r="AE36" i="2"/>
  <c r="AF36" i="2"/>
  <c r="AE40" i="2"/>
  <c r="AF40" i="2"/>
  <c r="AE18" i="2"/>
  <c r="AH18" i="2"/>
  <c r="AE47" i="2"/>
  <c r="AF47" i="2"/>
  <c r="AE54" i="2"/>
  <c r="AI54" i="2" s="1"/>
  <c r="AF54" i="2"/>
  <c r="AE56" i="2"/>
  <c r="AI56" i="2" s="1"/>
  <c r="AF56" i="2"/>
  <c r="AE49" i="2"/>
  <c r="AF49" i="2"/>
  <c r="AE11" i="2"/>
  <c r="AF11" i="2"/>
  <c r="AD19" i="2"/>
  <c r="AF9" i="2"/>
  <c r="AE39" i="2"/>
  <c r="AF39" i="2"/>
  <c r="AD57" i="2"/>
  <c r="AE41" i="2"/>
  <c r="AE57" i="2" s="1"/>
  <c r="AF41" i="2"/>
  <c r="AE53" i="2"/>
  <c r="AD58" i="2"/>
  <c r="AF53" i="2"/>
  <c r="AE13" i="2"/>
  <c r="AH13" i="2"/>
  <c r="AE14" i="2"/>
  <c r="AH14" i="2"/>
  <c r="AE45" i="2"/>
  <c r="AF45" i="2"/>
  <c r="AE55" i="2"/>
  <c r="AI55" i="2" s="1"/>
  <c r="AF55" i="2"/>
  <c r="AE42" i="2"/>
  <c r="AF42" i="2"/>
  <c r="AE50" i="2"/>
  <c r="AF50" i="2"/>
  <c r="AE48" i="2"/>
  <c r="AF48" i="2"/>
  <c r="AE38" i="2"/>
  <c r="AF38" i="2"/>
  <c r="AE43" i="2"/>
  <c r="AF43" i="2"/>
  <c r="AE44" i="2"/>
  <c r="AF44" i="2"/>
  <c r="AE12" i="2"/>
  <c r="AF12" i="2"/>
  <c r="AE58" i="2" l="1"/>
  <c r="AI53" i="2"/>
  <c r="AH16" i="2"/>
  <c r="AK16" i="2" s="1"/>
  <c r="AH15" i="2"/>
  <c r="AK15" i="2" s="1"/>
  <c r="AG15" i="2"/>
  <c r="AH17" i="2"/>
  <c r="AK17" i="2" s="1"/>
  <c r="AG17" i="2"/>
  <c r="AH10" i="2"/>
  <c r="AK10" i="2" s="1"/>
  <c r="AG10" i="2"/>
  <c r="AH37" i="2"/>
  <c r="AK37" i="2" s="1"/>
  <c r="AG37" i="2"/>
  <c r="AJ37" i="2" s="1"/>
  <c r="AG33" i="2"/>
  <c r="AJ33" i="2" s="1"/>
  <c r="AH33" i="2"/>
  <c r="AK33" i="2" s="1"/>
  <c r="AH34" i="2"/>
  <c r="AK34" i="2" s="1"/>
  <c r="AG34" i="2"/>
  <c r="AJ34" i="2" s="1"/>
  <c r="AJ16" i="2"/>
  <c r="AE19" i="2"/>
  <c r="AE20" i="2" s="1"/>
  <c r="AG50" i="2"/>
  <c r="AJ50" i="2" s="1"/>
  <c r="AH50" i="2"/>
  <c r="AK50" i="2" s="1"/>
  <c r="AH11" i="2"/>
  <c r="AK11" i="2" s="1"/>
  <c r="AG11" i="2"/>
  <c r="AG47" i="2"/>
  <c r="AJ47" i="2" s="1"/>
  <c r="AH47" i="2"/>
  <c r="AK47" i="2" s="1"/>
  <c r="AH36" i="2"/>
  <c r="AK36" i="2" s="1"/>
  <c r="AG36" i="2"/>
  <c r="AJ36" i="2" s="1"/>
  <c r="AG44" i="2"/>
  <c r="AJ44" i="2" s="1"/>
  <c r="AH44" i="2"/>
  <c r="AK44" i="2" s="1"/>
  <c r="AK13" i="2"/>
  <c r="AG39" i="2"/>
  <c r="AJ39" i="2" s="1"/>
  <c r="AH39" i="2"/>
  <c r="AK39" i="2" s="1"/>
  <c r="AG43" i="2"/>
  <c r="AJ43" i="2" s="1"/>
  <c r="AH43" i="2"/>
  <c r="AK43" i="2" s="1"/>
  <c r="AG49" i="2"/>
  <c r="AJ49" i="2" s="1"/>
  <c r="AH49" i="2"/>
  <c r="AK49" i="2" s="1"/>
  <c r="AK18" i="2"/>
  <c r="AG42" i="2"/>
  <c r="AJ42" i="2" s="1"/>
  <c r="AH42" i="2"/>
  <c r="AK42" i="2" s="1"/>
  <c r="AG55" i="2"/>
  <c r="AJ55" i="2" s="1"/>
  <c r="AH55" i="2"/>
  <c r="AK55" i="2" s="1"/>
  <c r="AG53" i="2"/>
  <c r="AJ53" i="2" s="1"/>
  <c r="AH53" i="2"/>
  <c r="AH9" i="2"/>
  <c r="AG9" i="2"/>
  <c r="AG32" i="2"/>
  <c r="AJ32" i="2" s="1"/>
  <c r="AH32" i="2"/>
  <c r="AE59" i="2"/>
  <c r="AE60" i="2" s="1"/>
  <c r="AH51" i="2"/>
  <c r="AK51" i="2" s="1"/>
  <c r="AG51" i="2"/>
  <c r="AJ51" i="2" s="1"/>
  <c r="AG38" i="2"/>
  <c r="AJ38" i="2" s="1"/>
  <c r="AH38" i="2"/>
  <c r="AK38" i="2" s="1"/>
  <c r="AG48" i="2"/>
  <c r="AJ48" i="2" s="1"/>
  <c r="AH48" i="2"/>
  <c r="AK48" i="2" s="1"/>
  <c r="AH41" i="2"/>
  <c r="AG41" i="2"/>
  <c r="AJ41" i="2" s="1"/>
  <c r="AG54" i="2"/>
  <c r="AJ54" i="2" s="1"/>
  <c r="AH54" i="2"/>
  <c r="AK54" i="2" s="1"/>
  <c r="AG52" i="2"/>
  <c r="AJ52" i="2" s="1"/>
  <c r="AH52" i="2"/>
  <c r="AK52" i="2" s="1"/>
  <c r="AH46" i="2"/>
  <c r="AK46" i="2" s="1"/>
  <c r="AG46" i="2"/>
  <c r="AJ46" i="2" s="1"/>
  <c r="AG56" i="2"/>
  <c r="AJ56" i="2" s="1"/>
  <c r="AH56" i="2"/>
  <c r="AK56" i="2" s="1"/>
  <c r="AG45" i="2"/>
  <c r="AJ45" i="2" s="1"/>
  <c r="AH45" i="2"/>
  <c r="AK45" i="2" s="1"/>
  <c r="AH12" i="2"/>
  <c r="AK12" i="2" s="1"/>
  <c r="AG12" i="2"/>
  <c r="AK14" i="2"/>
  <c r="AH40" i="2"/>
  <c r="AK40" i="2" s="1"/>
  <c r="AG40" i="2"/>
  <c r="AJ40" i="2" s="1"/>
  <c r="AJ10" i="2" l="1"/>
  <c r="AJ17" i="2"/>
  <c r="AJ15" i="2"/>
  <c r="AD62" i="2"/>
  <c r="AE62" i="2" s="1"/>
  <c r="AK53" i="2"/>
  <c r="AK58" i="2" s="1"/>
  <c r="AH58" i="2"/>
  <c r="AH59" i="2"/>
  <c r="AK32" i="2"/>
  <c r="AJ11" i="2"/>
  <c r="AH57" i="2"/>
  <c r="AK41" i="2"/>
  <c r="AK57" i="2" s="1"/>
  <c r="AK19" i="2"/>
  <c r="AJ12" i="2"/>
  <c r="AH19" i="2"/>
  <c r="AK59" i="2" l="1"/>
  <c r="AH60" i="2" s="1"/>
  <c r="AH20" i="2"/>
  <c r="AJ62" i="2" l="1"/>
  <c r="AJ63" i="2" s="1"/>
  <c r="AM9" i="2" s="1"/>
  <c r="G51" i="1" s="1"/>
  <c r="C44" i="52" s="1"/>
  <c r="J51" i="1" l="1"/>
  <c r="F44" i="52" s="1"/>
  <c r="I51" i="1"/>
  <c r="E44" i="52" s="1"/>
  <c r="AP9" i="2"/>
  <c r="L51" i="1" s="1"/>
  <c r="N51" i="1" s="1"/>
  <c r="AL32" i="2"/>
  <c r="G48" i="1" s="1"/>
  <c r="C41" i="52" s="1"/>
  <c r="AL10" i="2"/>
  <c r="AL17" i="2"/>
  <c r="G14" i="1" s="1"/>
  <c r="C14" i="52" s="1"/>
  <c r="AL15" i="2"/>
  <c r="G12" i="1" s="1"/>
  <c r="C12" i="52" s="1"/>
  <c r="AL56" i="2"/>
  <c r="AM56" i="2" s="1"/>
  <c r="AP56" i="2" s="1"/>
  <c r="AL55" i="2"/>
  <c r="AO55" i="2" s="1"/>
  <c r="AL53" i="2"/>
  <c r="AM53" i="2" s="1"/>
  <c r="AL54" i="2"/>
  <c r="AO54" i="2" s="1"/>
  <c r="AL34" i="2"/>
  <c r="G18" i="1" s="1"/>
  <c r="C18" i="52" s="1"/>
  <c r="AL16" i="2"/>
  <c r="G13" i="1" s="1"/>
  <c r="C13" i="52" s="1"/>
  <c r="AL42" i="2"/>
  <c r="AM42" i="2" s="1"/>
  <c r="AP42" i="2" s="1"/>
  <c r="AL39" i="2"/>
  <c r="G32" i="1" s="1"/>
  <c r="C32" i="52" s="1"/>
  <c r="AL35" i="2"/>
  <c r="G17" i="1" s="1"/>
  <c r="C17" i="52" s="1"/>
  <c r="AL46" i="2"/>
  <c r="AM46" i="2" s="1"/>
  <c r="AP46" i="2" s="1"/>
  <c r="AL47" i="2"/>
  <c r="AM47" i="2" s="1"/>
  <c r="AP47" i="2" s="1"/>
  <c r="AL36" i="2"/>
  <c r="G16" i="1" s="1"/>
  <c r="C16" i="52" s="1"/>
  <c r="AL50" i="2"/>
  <c r="AO50" i="2" s="1"/>
  <c r="AL51" i="2"/>
  <c r="AO51" i="2" s="1"/>
  <c r="AL12" i="2"/>
  <c r="G11" i="1" s="1"/>
  <c r="C11" i="52" s="1"/>
  <c r="AL45" i="2"/>
  <c r="AM45" i="2" s="1"/>
  <c r="AP45" i="2" s="1"/>
  <c r="AL41" i="2"/>
  <c r="AL57" i="2" s="1"/>
  <c r="AL43" i="2"/>
  <c r="AO43" i="2" s="1"/>
  <c r="AL33" i="2"/>
  <c r="G15" i="1" s="1"/>
  <c r="C15" i="52" s="1"/>
  <c r="AL40" i="2"/>
  <c r="G29" i="1" s="1"/>
  <c r="C29" i="52" s="1"/>
  <c r="AL18" i="2"/>
  <c r="G21" i="1" s="1"/>
  <c r="C21" i="52" s="1"/>
  <c r="AL49" i="2"/>
  <c r="AM49" i="2" s="1"/>
  <c r="AP49" i="2" s="1"/>
  <c r="AL14" i="2"/>
  <c r="G30" i="1" s="1"/>
  <c r="C30" i="52" s="1"/>
  <c r="AL52" i="2"/>
  <c r="AO52" i="2" s="1"/>
  <c r="AL37" i="2"/>
  <c r="G19" i="1" s="1"/>
  <c r="C19" i="52" s="1"/>
  <c r="AL48" i="2"/>
  <c r="AO48" i="2" s="1"/>
  <c r="AL38" i="2"/>
  <c r="G22" i="1" s="1"/>
  <c r="C22" i="52" s="1"/>
  <c r="AL13" i="2"/>
  <c r="G31" i="1" s="1"/>
  <c r="C31" i="52" s="1"/>
  <c r="AL9" i="2"/>
  <c r="G47" i="1" s="1"/>
  <c r="C40" i="52" s="1"/>
  <c r="AL11" i="2"/>
  <c r="G10" i="1" s="1"/>
  <c r="C10" i="52" s="1"/>
  <c r="AL44" i="2"/>
  <c r="AM44" i="2" s="1"/>
  <c r="AP44" i="2" s="1"/>
  <c r="I12" i="1" l="1"/>
  <c r="E12" i="52" s="1"/>
  <c r="J12" i="1"/>
  <c r="F12" i="52" s="1"/>
  <c r="I30" i="1"/>
  <c r="E30" i="52" s="1"/>
  <c r="J30" i="1"/>
  <c r="F30" i="52" s="1"/>
  <c r="G9" i="1"/>
  <c r="C9" i="52" s="1"/>
  <c r="G46" i="1"/>
  <c r="C39" i="52" s="1"/>
  <c r="J48" i="1"/>
  <c r="F41" i="52" s="1"/>
  <c r="I48" i="1"/>
  <c r="E41" i="52" s="1"/>
  <c r="I14" i="1"/>
  <c r="E14" i="52" s="1"/>
  <c r="J14" i="1"/>
  <c r="F14" i="52" s="1"/>
  <c r="I47" i="1"/>
  <c r="E40" i="52" s="1"/>
  <c r="J47" i="1"/>
  <c r="F40" i="52" s="1"/>
  <c r="I31" i="1"/>
  <c r="E31" i="52" s="1"/>
  <c r="J31" i="1"/>
  <c r="F31" i="52" s="1"/>
  <c r="I16" i="1"/>
  <c r="E16" i="52" s="1"/>
  <c r="J16" i="1"/>
  <c r="F16" i="52" s="1"/>
  <c r="I22" i="1"/>
  <c r="E22" i="52" s="1"/>
  <c r="J22" i="1"/>
  <c r="F22" i="52" s="1"/>
  <c r="I11" i="1"/>
  <c r="E11" i="52" s="1"/>
  <c r="J11" i="1"/>
  <c r="F11" i="52" s="1"/>
  <c r="I10" i="1"/>
  <c r="E10" i="52" s="1"/>
  <c r="J10" i="1"/>
  <c r="F10" i="52" s="1"/>
  <c r="V27" i="1"/>
  <c r="I13" i="1"/>
  <c r="E13" i="52" s="1"/>
  <c r="J13" i="1"/>
  <c r="F13" i="52" s="1"/>
  <c r="I21" i="1"/>
  <c r="E21" i="52" s="1"/>
  <c r="J21" i="1"/>
  <c r="F21" i="52" s="1"/>
  <c r="I29" i="1"/>
  <c r="E29" i="52" s="1"/>
  <c r="J29" i="1"/>
  <c r="F29" i="52" s="1"/>
  <c r="I15" i="1"/>
  <c r="E15" i="52" s="1"/>
  <c r="J15" i="1"/>
  <c r="F15" i="52" s="1"/>
  <c r="I32" i="1"/>
  <c r="E32" i="52" s="1"/>
  <c r="J32" i="1"/>
  <c r="F32" i="52" s="1"/>
  <c r="I18" i="1"/>
  <c r="E18" i="52" s="1"/>
  <c r="J18" i="1"/>
  <c r="F18" i="52" s="1"/>
  <c r="V34" i="1"/>
  <c r="X34" i="1" s="1"/>
  <c r="J19" i="1"/>
  <c r="F19" i="52" s="1"/>
  <c r="I19" i="1"/>
  <c r="E19" i="52" s="1"/>
  <c r="G49" i="1"/>
  <c r="C42" i="52" s="1"/>
  <c r="G20" i="1"/>
  <c r="C20" i="52" s="1"/>
  <c r="I17" i="1"/>
  <c r="E17" i="52" s="1"/>
  <c r="J17" i="1"/>
  <c r="F17" i="52" s="1"/>
  <c r="V40" i="1"/>
  <c r="X40" i="1" s="1"/>
  <c r="O51" i="1"/>
  <c r="Q51" i="1" s="1"/>
  <c r="R51" i="1" s="1"/>
  <c r="T51" i="1" s="1"/>
  <c r="U6" i="23"/>
  <c r="AO13" i="2"/>
  <c r="L31" i="1" s="1"/>
  <c r="N31" i="1" s="1"/>
  <c r="AM33" i="2"/>
  <c r="AP33" i="2" s="1"/>
  <c r="AO37" i="2"/>
  <c r="L19" i="1" s="1"/>
  <c r="N19" i="1" s="1"/>
  <c r="AO35" i="2"/>
  <c r="L17" i="1" s="1"/>
  <c r="N17" i="1" s="1"/>
  <c r="AM14" i="2"/>
  <c r="AP14" i="2" s="1"/>
  <c r="AM12" i="2"/>
  <c r="G23" i="1" s="1"/>
  <c r="C23" i="52" s="1"/>
  <c r="AO36" i="2"/>
  <c r="L16" i="1" s="1"/>
  <c r="N16" i="1" s="1"/>
  <c r="AO40" i="2"/>
  <c r="L29" i="1" s="1"/>
  <c r="N29" i="1" s="1"/>
  <c r="AM38" i="2"/>
  <c r="G26" i="1" s="1"/>
  <c r="C26" i="52" s="1"/>
  <c r="AM11" i="2"/>
  <c r="AP11" i="2" s="1"/>
  <c r="AO9" i="2"/>
  <c r="L47" i="1" s="1"/>
  <c r="N47" i="1" s="1"/>
  <c r="AM18" i="2"/>
  <c r="AP18" i="2" s="1"/>
  <c r="AO34" i="2"/>
  <c r="L18" i="1" s="1"/>
  <c r="N18" i="1" s="1"/>
  <c r="AO32" i="2"/>
  <c r="L48" i="1" s="1"/>
  <c r="N48" i="1" s="1"/>
  <c r="AL58" i="2"/>
  <c r="G50" i="1" s="1"/>
  <c r="C43" i="52" s="1"/>
  <c r="AO53" i="2"/>
  <c r="AM55" i="2"/>
  <c r="AP55" i="2" s="1"/>
  <c r="AM54" i="2"/>
  <c r="AP54" i="2" s="1"/>
  <c r="AM32" i="2"/>
  <c r="AP32" i="2" s="1"/>
  <c r="AM43" i="2"/>
  <c r="AP43" i="2" s="1"/>
  <c r="AO38" i="2"/>
  <c r="L22" i="1" s="1"/>
  <c r="N22" i="1" s="1"/>
  <c r="AM35" i="2"/>
  <c r="AP35" i="2" s="1"/>
  <c r="AO56" i="2"/>
  <c r="AO15" i="2"/>
  <c r="L12" i="1" s="1"/>
  <c r="N12" i="1" s="1"/>
  <c r="AM15" i="2"/>
  <c r="AP15" i="2" s="1"/>
  <c r="AM37" i="2"/>
  <c r="AP37" i="2" s="1"/>
  <c r="AM17" i="2"/>
  <c r="AP17" i="2" s="1"/>
  <c r="AO17" i="2"/>
  <c r="L14" i="1" s="1"/>
  <c r="N14" i="1" s="1"/>
  <c r="AO10" i="2"/>
  <c r="AM10" i="2"/>
  <c r="AP10" i="2" s="1"/>
  <c r="AM34" i="2"/>
  <c r="AP34" i="2" s="1"/>
  <c r="AM41" i="2"/>
  <c r="AP41" i="2" s="1"/>
  <c r="AO46" i="2"/>
  <c r="AO41" i="2"/>
  <c r="AO39" i="2"/>
  <c r="L32" i="1" s="1"/>
  <c r="N32" i="1" s="1"/>
  <c r="AO44" i="2"/>
  <c r="AO14" i="2"/>
  <c r="L30" i="1" s="1"/>
  <c r="N30" i="1" s="1"/>
  <c r="AO12" i="2"/>
  <c r="L11" i="1" s="1"/>
  <c r="N11" i="1" s="1"/>
  <c r="AO42" i="2"/>
  <c r="AO16" i="2"/>
  <c r="L13" i="1" s="1"/>
  <c r="N13" i="1" s="1"/>
  <c r="AM16" i="2"/>
  <c r="AP16" i="2" s="1"/>
  <c r="AL19" i="2"/>
  <c r="AO45" i="2"/>
  <c r="AM39" i="2"/>
  <c r="AP39" i="2" s="1"/>
  <c r="AM52" i="2"/>
  <c r="AP52" i="2" s="1"/>
  <c r="AM50" i="2"/>
  <c r="AP50" i="2" s="1"/>
  <c r="AO33" i="2"/>
  <c r="L15" i="1" s="1"/>
  <c r="N15" i="1" s="1"/>
  <c r="AM36" i="2"/>
  <c r="AP36" i="2" s="1"/>
  <c r="AO47" i="2"/>
  <c r="AM13" i="2"/>
  <c r="AP13" i="2" s="1"/>
  <c r="AM48" i="2"/>
  <c r="AP48" i="2" s="1"/>
  <c r="AM40" i="2"/>
  <c r="AP40" i="2" s="1"/>
  <c r="AO18" i="2"/>
  <c r="L21" i="1" s="1"/>
  <c r="N21" i="1" s="1"/>
  <c r="AO49" i="2"/>
  <c r="AL59" i="2"/>
  <c r="AO11" i="2"/>
  <c r="L10" i="1" s="1"/>
  <c r="N10" i="1" s="1"/>
  <c r="AM51" i="2"/>
  <c r="AP51" i="2" s="1"/>
  <c r="AM58" i="2"/>
  <c r="AP58" i="2" s="1"/>
  <c r="AP53" i="2"/>
  <c r="AO57" i="2"/>
  <c r="O16" i="1" l="1"/>
  <c r="Q16" i="1" s="1"/>
  <c r="R16" i="1" s="1"/>
  <c r="O19" i="1"/>
  <c r="Q19" i="1" s="1"/>
  <c r="R19" i="1" s="1"/>
  <c r="T19" i="1" s="1"/>
  <c r="I46" i="1"/>
  <c r="E39" i="52" s="1"/>
  <c r="J46" i="1"/>
  <c r="F39" i="52" s="1"/>
  <c r="V9" i="1"/>
  <c r="O32" i="1"/>
  <c r="Q32" i="1" s="1"/>
  <c r="R32" i="1" s="1"/>
  <c r="T32" i="1" s="1"/>
  <c r="O10" i="1"/>
  <c r="Q10" i="1" s="1"/>
  <c r="R10" i="1" s="1"/>
  <c r="T10" i="1" s="1"/>
  <c r="V33" i="1"/>
  <c r="I9" i="1"/>
  <c r="E9" i="52" s="1"/>
  <c r="J9" i="1"/>
  <c r="F9" i="52" s="1"/>
  <c r="V39" i="1"/>
  <c r="V15" i="1"/>
  <c r="I26" i="1"/>
  <c r="E26" i="52" s="1"/>
  <c r="J26" i="1"/>
  <c r="F26" i="52" s="1"/>
  <c r="O15" i="1"/>
  <c r="Q15" i="1" s="1"/>
  <c r="R15" i="1" s="1"/>
  <c r="O21" i="1"/>
  <c r="Q21" i="1" s="1"/>
  <c r="R21" i="1" s="1"/>
  <c r="T21" i="1" s="1"/>
  <c r="O30" i="1"/>
  <c r="Q30" i="1" s="1"/>
  <c r="R30" i="1" s="1"/>
  <c r="T30" i="1" s="1"/>
  <c r="O18" i="1"/>
  <c r="Q18" i="1" s="1"/>
  <c r="R18" i="1" s="1"/>
  <c r="T18" i="1" s="1"/>
  <c r="L9" i="1"/>
  <c r="N9" i="1" s="1"/>
  <c r="L46" i="1"/>
  <c r="N46" i="1" s="1"/>
  <c r="I50" i="1"/>
  <c r="E43" i="52" s="1"/>
  <c r="J50" i="1"/>
  <c r="F43" i="52" s="1"/>
  <c r="O11" i="1"/>
  <c r="Q11" i="1" s="1"/>
  <c r="R11" i="1" s="1"/>
  <c r="T11" i="1" s="1"/>
  <c r="O14" i="1"/>
  <c r="Q14" i="1" s="1"/>
  <c r="R14" i="1" s="1"/>
  <c r="T14" i="1" s="1"/>
  <c r="L20" i="1"/>
  <c r="N20" i="1" s="1"/>
  <c r="L49" i="1"/>
  <c r="N49" i="1" s="1"/>
  <c r="I23" i="1"/>
  <c r="E23" i="52" s="1"/>
  <c r="J23" i="1"/>
  <c r="F23" i="52" s="1"/>
  <c r="O17" i="1"/>
  <c r="Q17" i="1" s="1"/>
  <c r="R17" i="1" s="1"/>
  <c r="T17" i="1" s="1"/>
  <c r="O29" i="1"/>
  <c r="Q29" i="1" s="1"/>
  <c r="R29" i="1" s="1"/>
  <c r="T29" i="1" s="1"/>
  <c r="O13" i="1"/>
  <c r="Q13" i="1" s="1"/>
  <c r="R13" i="1" s="1"/>
  <c r="T13" i="1" s="1"/>
  <c r="O31" i="1"/>
  <c r="Q31" i="1" s="1"/>
  <c r="R31" i="1" s="1"/>
  <c r="T31" i="1" s="1"/>
  <c r="I20" i="1"/>
  <c r="E20" i="52" s="1"/>
  <c r="J20" i="1"/>
  <c r="F20" i="52" s="1"/>
  <c r="X27" i="1"/>
  <c r="I49" i="1"/>
  <c r="E42" i="52" s="1"/>
  <c r="J49" i="1"/>
  <c r="F42" i="52" s="1"/>
  <c r="O22" i="1"/>
  <c r="Q22" i="1" s="1"/>
  <c r="R22" i="1" s="1"/>
  <c r="T22" i="1" s="1"/>
  <c r="O47" i="1"/>
  <c r="Q47" i="1" s="1"/>
  <c r="R47" i="1" s="1"/>
  <c r="O48" i="1"/>
  <c r="Q48" i="1" s="1"/>
  <c r="R48" i="1" s="1"/>
  <c r="O12" i="1"/>
  <c r="Q12" i="1" s="1"/>
  <c r="R12" i="1" s="1"/>
  <c r="T12" i="1" s="1"/>
  <c r="AP38" i="2"/>
  <c r="L26" i="1" s="1"/>
  <c r="N26" i="1" s="1"/>
  <c r="I19" i="23"/>
  <c r="AP12" i="2"/>
  <c r="L23" i="1" s="1"/>
  <c r="N23" i="1" s="1"/>
  <c r="U10" i="23"/>
  <c r="U12" i="23"/>
  <c r="U15" i="23"/>
  <c r="AO58" i="2"/>
  <c r="L50" i="1" s="1"/>
  <c r="N50" i="1" s="1"/>
  <c r="J19" i="23"/>
  <c r="H19" i="23"/>
  <c r="F19" i="23"/>
  <c r="AM57" i="2"/>
  <c r="AM19" i="2"/>
  <c r="AM20" i="2" s="1"/>
  <c r="U7" i="23"/>
  <c r="U8" i="23"/>
  <c r="E19" i="23"/>
  <c r="U11" i="23"/>
  <c r="U13" i="23"/>
  <c r="AM59" i="2"/>
  <c r="AM60" i="2" s="1"/>
  <c r="U9" i="23"/>
  <c r="K19" i="23"/>
  <c r="L19" i="23"/>
  <c r="U14" i="23"/>
  <c r="G19" i="23"/>
  <c r="O50" i="1" l="1"/>
  <c r="Q50" i="1" s="1"/>
  <c r="R50" i="1" s="1"/>
  <c r="V10" i="1"/>
  <c r="X10" i="1" s="1"/>
  <c r="T48" i="1"/>
  <c r="O20" i="1"/>
  <c r="Q20" i="1" s="1"/>
  <c r="R20" i="1" s="1"/>
  <c r="T52" i="1"/>
  <c r="X9" i="1"/>
  <c r="X39" i="1"/>
  <c r="V41" i="1"/>
  <c r="X41" i="1" s="1"/>
  <c r="G25" i="1"/>
  <c r="C25" i="52" s="1"/>
  <c r="G24" i="1"/>
  <c r="C24" i="52" s="1"/>
  <c r="O49" i="1"/>
  <c r="Q49" i="1" s="1"/>
  <c r="R49" i="1" s="1"/>
  <c r="T49" i="1" s="1"/>
  <c r="O23" i="1"/>
  <c r="Q23" i="1" s="1"/>
  <c r="R23" i="1" s="1"/>
  <c r="T23" i="1" s="1"/>
  <c r="O9" i="1"/>
  <c r="Q9" i="1" s="1"/>
  <c r="T15" i="1"/>
  <c r="V28" i="1"/>
  <c r="X33" i="1"/>
  <c r="V35" i="1"/>
  <c r="X35" i="1" s="1"/>
  <c r="O46" i="1"/>
  <c r="Q46" i="1" s="1"/>
  <c r="T16" i="1"/>
  <c r="V16" i="1"/>
  <c r="X16" i="1" s="1"/>
  <c r="O26" i="1"/>
  <c r="Q26" i="1" s="1"/>
  <c r="R26" i="1" s="1"/>
  <c r="T26" i="1" s="1"/>
  <c r="X15" i="1"/>
  <c r="AP57" i="2"/>
  <c r="AL62" i="2"/>
  <c r="AM62" i="2" s="1"/>
  <c r="F21" i="23"/>
  <c r="F22" i="23"/>
  <c r="V11" i="1" l="1"/>
  <c r="X11" i="1" s="1"/>
  <c r="V17" i="1"/>
  <c r="X17" i="1" s="1"/>
  <c r="T20" i="1"/>
  <c r="T53" i="1"/>
  <c r="T56" i="1" s="1"/>
  <c r="J24" i="1"/>
  <c r="F24" i="52" s="1"/>
  <c r="I24" i="1"/>
  <c r="E24" i="52" s="1"/>
  <c r="I25" i="1"/>
  <c r="E25" i="52" s="1"/>
  <c r="J25" i="1"/>
  <c r="F25" i="52" s="1"/>
  <c r="T55" i="1"/>
  <c r="V22" i="1"/>
  <c r="X22" i="1" s="1"/>
  <c r="T50" i="1"/>
  <c r="R46" i="1"/>
  <c r="T46" i="1" s="1"/>
  <c r="X28" i="1"/>
  <c r="V29" i="1"/>
  <c r="X29" i="1" s="1"/>
  <c r="R9" i="1"/>
  <c r="T9" i="1" s="1"/>
  <c r="L25" i="1"/>
  <c r="N25" i="1" s="1"/>
  <c r="L24" i="1"/>
  <c r="N24" i="1" s="1"/>
  <c r="M19" i="23"/>
  <c r="F23" i="23" s="1"/>
  <c r="F25" i="23" s="1"/>
  <c r="L29" i="23" s="1"/>
  <c r="C27" i="1" l="1"/>
  <c r="O25" i="1"/>
  <c r="Q25" i="1" s="1"/>
  <c r="R25" i="1" s="1"/>
  <c r="T25" i="1" s="1"/>
  <c r="O24" i="1"/>
  <c r="Q24" i="1" s="1"/>
  <c r="R24" i="1" s="1"/>
  <c r="T33" i="1"/>
  <c r="T54" i="1"/>
  <c r="T57" i="1" s="1"/>
  <c r="F24" i="23"/>
  <c r="C23" i="1" s="1"/>
  <c r="D51" i="52" s="1"/>
  <c r="T34" i="1" l="1"/>
  <c r="T37" i="1" s="1"/>
  <c r="T36" i="1"/>
  <c r="T24" i="1"/>
  <c r="V21" i="1"/>
  <c r="F26" i="23"/>
  <c r="L30" i="23" s="1"/>
  <c r="L31" i="23" s="1"/>
  <c r="C22" i="1" s="1"/>
  <c r="D49" i="52" s="1"/>
  <c r="S65" i="2"/>
  <c r="T35" i="1" l="1"/>
  <c r="X21" i="1"/>
  <c r="V23" i="1"/>
  <c r="X23" i="1" s="1"/>
  <c r="K32" i="23"/>
  <c r="T38" i="1" l="1"/>
  <c r="T58" i="1" s="1"/>
  <c r="C26" i="1"/>
  <c r="S66" i="2"/>
  <c r="S67" i="2" s="1"/>
  <c r="T65" i="2" s="1"/>
  <c r="C15" i="1" s="1"/>
  <c r="D48" i="52" s="1"/>
  <c r="T39" i="1" l="1"/>
  <c r="C28" i="1"/>
  <c r="C21" i="1"/>
  <c r="T66" i="2"/>
</calcChain>
</file>

<file path=xl/sharedStrings.xml><?xml version="1.0" encoding="utf-8"?>
<sst xmlns="http://schemas.openxmlformats.org/spreadsheetml/2006/main" count="1634" uniqueCount="447">
  <si>
    <t>GCA</t>
  </si>
  <si>
    <t>VO 2017</t>
  </si>
  <si>
    <t>Referenz</t>
  </si>
  <si>
    <t>FZK Entry Baumgarten</t>
  </si>
  <si>
    <t>§3 (2) 1.</t>
  </si>
  <si>
    <t>FZK Entry Oberkappel</t>
  </si>
  <si>
    <t>§3 (2) 2.</t>
  </si>
  <si>
    <t>FZK Entry Überackern</t>
  </si>
  <si>
    <t>§3 (2) 3.</t>
  </si>
  <si>
    <t>FZK Entry Moson</t>
  </si>
  <si>
    <t>§3 (2) 5.</t>
  </si>
  <si>
    <t>FZK Entry Murfeld</t>
  </si>
  <si>
    <t>§3 (2) 6.</t>
  </si>
  <si>
    <t>FZK Entry Petrzalka</t>
  </si>
  <si>
    <t>§3 (2) 7.</t>
  </si>
  <si>
    <t>FZK Exit Baumgarten</t>
  </si>
  <si>
    <t>§3 (3) 1.</t>
  </si>
  <si>
    <t>FZK Exit Oberkappel</t>
  </si>
  <si>
    <t>§3 (3) 2.</t>
  </si>
  <si>
    <t>FZK Exit Murfeld</t>
  </si>
  <si>
    <t>§ 3(3) 4.</t>
  </si>
  <si>
    <t>FZK Exit Moson</t>
  </si>
  <si>
    <t>§ 3(3) 5.</t>
  </si>
  <si>
    <t>§ 3(3) 6.</t>
  </si>
  <si>
    <t>FZK Exit Verteilergebiet</t>
  </si>
  <si>
    <t>§ 3(3) 7.</t>
  </si>
  <si>
    <t>FZK Exit Überackern</t>
  </si>
  <si>
    <t>§ 3(3) 8.</t>
  </si>
  <si>
    <t>§3 (5) 7.</t>
  </si>
  <si>
    <t>§3 (6) 1.</t>
  </si>
  <si>
    <t>§3 (6) 2.</t>
  </si>
  <si>
    <t>§3 (6) 4.</t>
  </si>
  <si>
    <t>§3 (8) 1.</t>
  </si>
  <si>
    <t>§3 (8) 2.</t>
  </si>
  <si>
    <t>§4 (2) 1.</t>
  </si>
  <si>
    <t>§4 (2) 2.</t>
  </si>
  <si>
    <t>TAG</t>
  </si>
  <si>
    <t>FZK Entry Arnoldstein</t>
  </si>
  <si>
    <t>§3 (2) 4.</t>
  </si>
  <si>
    <t>FZK Exit Arnoldstein</t>
  </si>
  <si>
    <t>§3 (3) 3.</t>
  </si>
  <si>
    <t>§ 3(3) 8. (NEU!?)</t>
  </si>
  <si>
    <t>§ 3(5) 6.</t>
  </si>
  <si>
    <t xml:space="preserve">Tariff calculation </t>
  </si>
  <si>
    <t>DZK discount</t>
  </si>
  <si>
    <t>Conversion GCV</t>
  </si>
  <si>
    <t>Total costs MG Ost</t>
  </si>
  <si>
    <t>€</t>
  </si>
  <si>
    <t>PID</t>
  </si>
  <si>
    <t>Name</t>
  </si>
  <si>
    <t>Cluster</t>
  </si>
  <si>
    <t>Capacity share (weight)</t>
  </si>
  <si>
    <t>Capacity-weighted distance</t>
  </si>
  <si>
    <t>Reference volumes FZK</t>
  </si>
  <si>
    <t>Reference volumes DZK</t>
  </si>
  <si>
    <t>Cluster distance-ratio to P1</t>
  </si>
  <si>
    <t>Arnoldstein</t>
  </si>
  <si>
    <t>Entry</t>
  </si>
  <si>
    <t>Baumgarten</t>
  </si>
  <si>
    <t>Oberkappel</t>
  </si>
  <si>
    <t>Überackern</t>
  </si>
  <si>
    <t>Storage MAB</t>
  </si>
  <si>
    <t>Calculation of entry cluster tariffs</t>
  </si>
  <si>
    <t>Cluster Distance</t>
  </si>
  <si>
    <t>Distance-ratio to P1</t>
  </si>
  <si>
    <t>TSO</t>
  </si>
  <si>
    <t>Direction</t>
  </si>
  <si>
    <t>Type</t>
  </si>
  <si>
    <t>Point</t>
  </si>
  <si>
    <t>Exit</t>
  </si>
  <si>
    <t>FZK</t>
  </si>
  <si>
    <t>DZK</t>
  </si>
  <si>
    <t>other</t>
  </si>
  <si>
    <t>Murfeld</t>
  </si>
  <si>
    <t>Petrzalka</t>
  </si>
  <si>
    <t>Verteilergebiet</t>
  </si>
  <si>
    <t>VG-Kärnten</t>
  </si>
  <si>
    <t>Exit East</t>
  </si>
  <si>
    <t>Exit West</t>
  </si>
  <si>
    <t>Exit Murfeld</t>
  </si>
  <si>
    <t>Exit VG1</t>
  </si>
  <si>
    <t>-</t>
  </si>
  <si>
    <t>Exit Storage</t>
  </si>
  <si>
    <t>Exit Arnoldstein</t>
  </si>
  <si>
    <t>Exit VG-Kärnten</t>
  </si>
  <si>
    <t>Entry MG Ost</t>
  </si>
  <si>
    <t>Total relevant capacity (TVK)</t>
  </si>
  <si>
    <t>kWh/h</t>
  </si>
  <si>
    <t>km</t>
  </si>
  <si>
    <t>DZK
 weight</t>
  </si>
  <si>
    <t>Cluster Tariff FZK entry</t>
  </si>
  <si>
    <t>Cluster Tariff DZK entry</t>
  </si>
  <si>
    <t>Costs to be recovered from entry</t>
  </si>
  <si>
    <t>Base tariff entry</t>
  </si>
  <si>
    <t>Rescaling factor</t>
  </si>
  <si>
    <t>Cluster Distance-ratio to P1</t>
  </si>
  <si>
    <t>Mosonmagyarovar</t>
  </si>
  <si>
    <t>Auersthal</t>
  </si>
  <si>
    <t>Kirchberg</t>
  </si>
  <si>
    <t>Gr. Göttfritz</t>
  </si>
  <si>
    <t>Rainbach</t>
  </si>
  <si>
    <t>Bad Leonfelden</t>
  </si>
  <si>
    <t>Arnreith</t>
  </si>
  <si>
    <t>Baumgarten-PVS2</t>
  </si>
  <si>
    <t>Eggendorf</t>
  </si>
  <si>
    <t>Grafendorf</t>
  </si>
  <si>
    <t>St. Margarethen</t>
  </si>
  <si>
    <t>Weitendorf</t>
  </si>
  <si>
    <t>Sulmeck-Greith</t>
  </si>
  <si>
    <t>Ettendorf</t>
  </si>
  <si>
    <t>Waisenberg</t>
  </si>
  <si>
    <t>Ebenthal</t>
  </si>
  <si>
    <t>Finkenstein</t>
  </si>
  <si>
    <t>Calculation of exit tariffs</t>
  </si>
  <si>
    <t>kWh</t>
  </si>
  <si>
    <t>Calculation of exit cluster tariffs</t>
  </si>
  <si>
    <t>Calculation of entry tariffs</t>
  </si>
  <si>
    <t>Costs to be recovered from exit</t>
  </si>
  <si>
    <t>Base tariff exit</t>
  </si>
  <si>
    <t>Correction factor FZK entry</t>
  </si>
  <si>
    <t>Correction factor DZK entry</t>
  </si>
  <si>
    <t>Storage discount entry</t>
  </si>
  <si>
    <t>Storage discount exit</t>
  </si>
  <si>
    <t>Cluster name</t>
  </si>
  <si>
    <t>Pipeline distance (BMGT)</t>
  </si>
  <si>
    <t>Storage 7-fields</t>
  </si>
  <si>
    <t>EUR/kWh/h/a</t>
  </si>
  <si>
    <t>1000 Nm³/h/a</t>
  </si>
  <si>
    <t>Total</t>
  </si>
  <si>
    <t>TEUR</t>
  </si>
  <si>
    <t>TSO overview</t>
  </si>
  <si>
    <t>EUR/kWh/h</t>
  </si>
  <si>
    <t>Distances to reference node BMGT</t>
  </si>
  <si>
    <t>Technical capacity (TVK)</t>
  </si>
  <si>
    <t>Total cost base</t>
  </si>
  <si>
    <t>Total planned tariff revenues TEUR</t>
  </si>
  <si>
    <t>Planned over-/underrecovery after ITCs</t>
  </si>
  <si>
    <t>capacity-</t>
  </si>
  <si>
    <t>change</t>
  </si>
  <si>
    <t>prelim.</t>
  </si>
  <si>
    <t>Reference</t>
  </si>
  <si>
    <t>volumes</t>
  </si>
  <si>
    <t>1.000 Nm³/h</t>
  </si>
  <si>
    <t>Revenues</t>
  </si>
  <si>
    <t>kWh/h/a</t>
  </si>
  <si>
    <t>Change</t>
  </si>
  <si>
    <t>Reference volumes</t>
  </si>
  <si>
    <t>n.a.</t>
  </si>
  <si>
    <r>
      <rPr>
        <b/>
        <u/>
        <sz val="11"/>
        <color theme="1"/>
        <rFont val="Calibri"/>
        <family val="2"/>
        <scheme val="minor"/>
      </rPr>
      <t>Forecast</t>
    </r>
    <r>
      <rPr>
        <b/>
        <sz val="11"/>
        <color theme="1"/>
        <rFont val="Calibri"/>
        <family val="2"/>
        <scheme val="minor"/>
      </rPr>
      <t xml:space="preserve"> volumes FZK</t>
    </r>
  </si>
  <si>
    <r>
      <rPr>
        <b/>
        <u/>
        <sz val="11"/>
        <color theme="1"/>
        <rFont val="Calibri"/>
        <family val="2"/>
        <scheme val="minor"/>
      </rPr>
      <t>Forecast</t>
    </r>
    <r>
      <rPr>
        <b/>
        <sz val="11"/>
        <color theme="1"/>
        <rFont val="Calibri"/>
        <family val="2"/>
        <scheme val="minor"/>
      </rPr>
      <t xml:space="preserve"> volumes DZK</t>
    </r>
  </si>
  <si>
    <t>Delta</t>
  </si>
  <si>
    <t>Customer perspectives:</t>
  </si>
  <si>
    <t>2017 costs</t>
  </si>
  <si>
    <t>Verteilergebiet Exit (GCA+TAG)</t>
  </si>
  <si>
    <t>Entry BMGT = Exit ARNO</t>
  </si>
  <si>
    <t>Entry BMGT = Exit OKAP</t>
  </si>
  <si>
    <t>N→S transits (avg.)</t>
  </si>
  <si>
    <t>E→W transits (avg.)</t>
  </si>
  <si>
    <t>W→E transits (avg.)</t>
  </si>
  <si>
    <t>Entry OKAP = Exit BMGT</t>
  </si>
  <si>
    <t>Net position = ITC (positive=receiving)</t>
  </si>
  <si>
    <t>Uberackern</t>
  </si>
  <si>
    <t>Driver for each Entry (Intra-Use)</t>
  </si>
  <si>
    <t>Driver for each Entry (Cross-Use)</t>
  </si>
  <si>
    <t>Revenue for Intra</t>
  </si>
  <si>
    <t>Revenue for Cross</t>
  </si>
  <si>
    <t>Cost driver for Entry Intra</t>
  </si>
  <si>
    <t>Cost driver for Exit Intra</t>
  </si>
  <si>
    <t>Cost driver for Intra</t>
  </si>
  <si>
    <t>Ratio intra</t>
  </si>
  <si>
    <t>Cost driver for Entry Cross</t>
  </si>
  <si>
    <t>Ratio cross</t>
  </si>
  <si>
    <t>Cost driver for Exit Cross</t>
  </si>
  <si>
    <t>Cost driver for Cross</t>
  </si>
  <si>
    <t>MWh/h</t>
  </si>
  <si>
    <t>MWh/h*km</t>
  </si>
  <si>
    <t>TEST results</t>
  </si>
  <si>
    <t>CAA capacity</t>
  </si>
  <si>
    <t>Entry tariff</t>
  </si>
  <si>
    <t>Entry capacity (Intra-Use)</t>
  </si>
  <si>
    <t>Entry capacity (Cross-Use)</t>
  </si>
  <si>
    <t>Weighted distance for each entry point to intra exits</t>
  </si>
  <si>
    <t>Weighted distance (km) for each exit point to the group of entry points</t>
  </si>
  <si>
    <t xml:space="preserve"> Weighted distance for each entry point to cross exits</t>
  </si>
  <si>
    <t>EUR/(km*MWh/h)</t>
  </si>
  <si>
    <t>CAA cap.</t>
  </si>
  <si>
    <t>Reference node Baumgarten</t>
  </si>
  <si>
    <t>Entry Arnoldstein DZK</t>
  </si>
  <si>
    <t>Entry Baumgarten</t>
  </si>
  <si>
    <t>Entry Oberkappel</t>
  </si>
  <si>
    <t>Entry Überackern</t>
  </si>
  <si>
    <t>x</t>
  </si>
  <si>
    <t>Auersthal DZK</t>
  </si>
  <si>
    <t>Storage 7F</t>
  </si>
  <si>
    <t>Bad Leonfelden DZK</t>
  </si>
  <si>
    <t>Exit point</t>
  </si>
  <si>
    <t>Distance in km</t>
  </si>
  <si>
    <t>Cross</t>
  </si>
  <si>
    <t>Intra</t>
  </si>
  <si>
    <t>Classification:</t>
  </si>
  <si>
    <t>Entry Murfeld</t>
  </si>
  <si>
    <t>Exit tariff EUR/kWh/h</t>
  </si>
  <si>
    <t>Driver for Exit Points</t>
  </si>
  <si>
    <t>CWD</t>
  </si>
  <si>
    <t>tariff</t>
  </si>
  <si>
    <t>Correction factor FZK exit</t>
  </si>
  <si>
    <t>Correction factor DZK exit</t>
  </si>
  <si>
    <t>Cluster Tariff FZK exit</t>
  </si>
  <si>
    <t>Cluster Tariff DZK exit</t>
  </si>
  <si>
    <t>Allowed capacity revenue (Mio. €)</t>
  </si>
  <si>
    <t>Entry-Exit split</t>
  </si>
  <si>
    <t>Discount DZK</t>
  </si>
  <si>
    <t>Capacity-weighted average distance from all entry points ↓</t>
  </si>
  <si>
    <t>Weight ↓</t>
  </si>
  <si>
    <t>Distance (km)</t>
  </si>
  <si>
    <t>Capacity-weighted average distance to all exit points→</t>
  </si>
  <si>
    <t>Weight →</t>
  </si>
  <si>
    <t>Forecasted booked
capacity (kWh/h/a)</t>
  </si>
  <si>
    <t>Capacity-weighted average distance to all exit points</t>
  </si>
  <si>
    <t>Weight</t>
  </si>
  <si>
    <t xml:space="preserve"> Share of revenue cap (Mio. €)</t>
  </si>
  <si>
    <t>Tariff (€/kWh/h)</t>
  </si>
  <si>
    <t>Cluster (Aggregate of FZK and DZK)</t>
  </si>
  <si>
    <t>Share of revenue cap  per cluster (Mio. € )</t>
  </si>
  <si>
    <t>Tariff per cluster (€/kWh/h)</t>
  </si>
  <si>
    <t>Discount</t>
  </si>
  <si>
    <t>Adjusted tariff (€/kWh/h)</t>
  </si>
  <si>
    <t>Revenue with adjusted tariffs (Mio. € )</t>
  </si>
  <si>
    <t>Rescaled tariff (€/kWh/h)</t>
  </si>
  <si>
    <t>Revenue with rescaled tariffs
(Mio. € )</t>
  </si>
  <si>
    <t>Exit West DZK</t>
  </si>
  <si>
    <t>Theor. tariff FZK</t>
  </si>
  <si>
    <t>Theor. tariff DZK</t>
  </si>
  <si>
    <t>FZK tariff capped?</t>
  </si>
  <si>
    <t>DZK tariff capped?</t>
  </si>
  <si>
    <t>revenues:</t>
  </si>
  <si>
    <t>Capped unscaled tariff FZK</t>
  </si>
  <si>
    <t>Capped unscaled tariff DZK</t>
  </si>
  <si>
    <t>Initial global rescaling factor</t>
  </si>
  <si>
    <t>FZK cap exceeded new?</t>
  </si>
  <si>
    <t>DZK cap exceeded new?</t>
  </si>
  <si>
    <t>Max. tariff increase</t>
  </si>
  <si>
    <t>total underecovery due to cap before rescaling</t>
  </si>
  <si>
    <t>ITC GCA-&gt;TAG €</t>
  </si>
  <si>
    <t>BMGT→Moso</t>
  </si>
  <si>
    <t>BMGT→Murfeld</t>
  </si>
  <si>
    <t>eff. E/X split:</t>
  </si>
  <si>
    <t>Exit VG WAG</t>
  </si>
  <si>
    <t>Exit VG TAG</t>
  </si>
  <si>
    <t>VG WAG</t>
  </si>
  <si>
    <t>VG TAG</t>
  </si>
  <si>
    <t>*yearly firm capacity</t>
  </si>
  <si>
    <t>Sum</t>
  </si>
  <si>
    <t>ENTSOG TP data</t>
  </si>
  <si>
    <t>CR</t>
  </si>
  <si>
    <t>Rogatec</t>
  </si>
  <si>
    <t>SI consultation Document (2020)</t>
  </si>
  <si>
    <t>SI</t>
  </si>
  <si>
    <t>Cersak</t>
  </si>
  <si>
    <t>AT</t>
  </si>
  <si>
    <t>Source</t>
  </si>
  <si>
    <t>Total cost [Euro/(kWh/h)/a]</t>
  </si>
  <si>
    <t>Commodity tariff* [Euro/(kWh/h)]</t>
  </si>
  <si>
    <t>Capacity tariff* [Euro/(kWh/h)/a]</t>
  </si>
  <si>
    <t>Utilisation</t>
  </si>
  <si>
    <t>Country</t>
  </si>
  <si>
    <t>Option 2</t>
  </si>
  <si>
    <t>Dravaszerdahely</t>
  </si>
  <si>
    <t>HU</t>
  </si>
  <si>
    <t>Tariff model AT</t>
  </si>
  <si>
    <t>Option 1</t>
  </si>
  <si>
    <t>difference Moso/Murfeld</t>
  </si>
  <si>
    <t>Forecasted</t>
  </si>
  <si>
    <t>bookings</t>
  </si>
  <si>
    <t>Revenues projected on reference bookings</t>
  </si>
  <si>
    <t xml:space="preserve">ICT-Comp. </t>
  </si>
  <si>
    <t>ICT-Comp.</t>
  </si>
  <si>
    <t>NICT-Comp.</t>
  </si>
  <si>
    <t xml:space="preserve">NICT-Comp. </t>
  </si>
  <si>
    <t>Revenues ICT</t>
  </si>
  <si>
    <t>Revenues NICT</t>
  </si>
  <si>
    <t>Over-/underrecovery of ICT</t>
  </si>
  <si>
    <t>Over-/underrecovery of NITC</t>
  </si>
  <si>
    <t xml:space="preserve">ICT FZK </t>
  </si>
  <si>
    <t>ICT DZK</t>
  </si>
  <si>
    <t>Rescaling non-permissible</t>
  </si>
  <si>
    <t>First rescaling</t>
  </si>
  <si>
    <t>Recapped rescaled tariff FZK</t>
  </si>
  <si>
    <t>Recapped rescaled tariff DZK</t>
  </si>
  <si>
    <t xml:space="preserve">Adjusted NICT FZK </t>
  </si>
  <si>
    <t xml:space="preserve">Adjusted NICT DZK </t>
  </si>
  <si>
    <t>Total NIC</t>
  </si>
  <si>
    <t>GCA total costs €</t>
  </si>
  <si>
    <t>GCA non-influenceable costs €</t>
  </si>
  <si>
    <t>GCA influenceable costs €</t>
  </si>
  <si>
    <t>TAG total costs €</t>
  </si>
  <si>
    <t>TAG non-influenceable costs €</t>
  </si>
  <si>
    <t>TAG influenceable costs €</t>
  </si>
  <si>
    <t>Discount storage entry</t>
  </si>
  <si>
    <t>Discount storage exit</t>
  </si>
  <si>
    <t>Entry cluster storage</t>
  </si>
  <si>
    <t>Exit VG1 DZK</t>
  </si>
  <si>
    <t>Entry cluster</t>
  </si>
  <si>
    <t>absolute</t>
  </si>
  <si>
    <t>difference</t>
  </si>
  <si>
    <t>relative</t>
  </si>
  <si>
    <t>Total costs to be recovered from entry</t>
  </si>
  <si>
    <t>Influenceable costs to be recovered from entry</t>
  </si>
  <si>
    <t>Total costs to be recovered from exit</t>
  </si>
  <si>
    <t>Influenceable costs to be recovered from exit</t>
  </si>
  <si>
    <t>Modified pipeline distance (BMGT)</t>
  </si>
  <si>
    <t>Total NICT revenues using reference volumes</t>
  </si>
  <si>
    <t>NICT revenues using reference volumes FZK</t>
  </si>
  <si>
    <t>NICT revenues using reference volumes DZK</t>
  </si>
  <si>
    <t>NIC subject to capacity tariffs</t>
  </si>
  <si>
    <t>based tariff</t>
  </si>
  <si>
    <t>Allowed costs (TEUR)</t>
  </si>
  <si>
    <t>GCA allowed costs €</t>
  </si>
  <si>
    <t>TAG allowed costs €</t>
  </si>
  <si>
    <t>Base tariff exit (influenceable part)</t>
  </si>
  <si>
    <t>Base tariff entry (influenceable part)</t>
  </si>
  <si>
    <t>Tariff calculation for the NICT part</t>
  </si>
  <si>
    <t>Costs subject to ICT (influenceable)</t>
  </si>
  <si>
    <t>E/X-Split before adjustments: Entry share</t>
  </si>
  <si>
    <t>Relevant technical capacity (TVK)</t>
  </si>
  <si>
    <t>Current tariff</t>
  </si>
  <si>
    <t>period revenues</t>
  </si>
  <si>
    <t>Next tariff</t>
  </si>
  <si>
    <t>FZK tariff VO 2017</t>
  </si>
  <si>
    <t>DZK tariff VO 2017</t>
  </si>
  <si>
    <t>FZK tariff 2017</t>
  </si>
  <si>
    <r>
      <t xml:space="preserve">Forecasted bookings next tariff period </t>
    </r>
    <r>
      <rPr>
        <sz val="11"/>
        <color theme="0"/>
        <rFont val="Calibri"/>
        <family val="2"/>
      </rPr>
      <t>↓→</t>
    </r>
  </si>
  <si>
    <t>Forecasted bookings next tariff period</t>
  </si>
  <si>
    <t>Tariffs current tariff VO 2017</t>
  </si>
  <si>
    <t>Intra-/cross syst. split: intra share</t>
  </si>
  <si>
    <t>Benchmark tariff Murf. €/kWh/h</t>
  </si>
  <si>
    <t>2019 costs</t>
  </si>
  <si>
    <t>Correction factor FZK</t>
  </si>
  <si>
    <t>Rescaling step 1</t>
  </si>
  <si>
    <t>Rescaling step 2</t>
  </si>
  <si>
    <t>Rescaling step 3</t>
  </si>
  <si>
    <t>Rescaled tariff FZK</t>
  </si>
  <si>
    <t>Rescaled tariff DZK</t>
  </si>
  <si>
    <t>Recapped re-rescaled tariff FZK</t>
  </si>
  <si>
    <t>Recapped re-rescaled tariff DZK</t>
  </si>
  <si>
    <t>Step 3 rescaled tariff FZK</t>
  </si>
  <si>
    <t>Step 3 rescaled tariff DZK</t>
  </si>
  <si>
    <t>Step 2 rescaled tariff FZK</t>
  </si>
  <si>
    <t>Step 2 rescaled tariff DZK</t>
  </si>
  <si>
    <t>VG discount entry</t>
  </si>
  <si>
    <t>FZK Exit distribution area Carinthia</t>
  </si>
  <si>
    <t>DZK Entry Arnoldstein (distribution grid)</t>
  </si>
  <si>
    <t>point</t>
  </si>
  <si>
    <t>FZK Exit Petrzalka</t>
  </si>
  <si>
    <t>FZK Exit distribution area</t>
  </si>
  <si>
    <t>FZK Entry distribution area</t>
  </si>
  <si>
    <t>DZK Entry Überackern (Oberkappel)</t>
  </si>
  <si>
    <t>DZK Exit distribution area (Baumgarten)</t>
  </si>
  <si>
    <t>DZK Exit distribution area (Oberkappel)</t>
  </si>
  <si>
    <t>DZK Exit Überackern (Oberkappel)</t>
  </si>
  <si>
    <t>ÜA Sudal (Überackern ABG)</t>
  </si>
  <si>
    <t>ÜA ABG (Überackern Sudal)</t>
  </si>
  <si>
    <t>Exit storage 7-fields</t>
  </si>
  <si>
    <t>Entry storage 7-fields</t>
  </si>
  <si>
    <t>Entry storage MAB</t>
  </si>
  <si>
    <t>Exit storage MAB</t>
  </si>
  <si>
    <t>Entry revenues dedicated to Intra (TEUR)</t>
  </si>
  <si>
    <t>Entry revenues dedicated to Cross (TEUR)</t>
  </si>
  <si>
    <t>Exit revenues from Intra (TEUR)</t>
  </si>
  <si>
    <t>Exit revenues from Cross (TEUR)</t>
  </si>
  <si>
    <t>Total exit cap. MWh/h</t>
  </si>
  <si>
    <t>Total entry cap.</t>
  </si>
  <si>
    <r>
      <rPr>
        <b/>
        <u/>
        <sz val="11"/>
        <color theme="0"/>
        <rFont val="Calibri"/>
        <family val="2"/>
        <scheme val="minor"/>
      </rPr>
      <t>Forecasted</t>
    </r>
    <r>
      <rPr>
        <b/>
        <sz val="11"/>
        <color theme="0"/>
        <rFont val="Calibri"/>
        <family val="2"/>
        <scheme val="minor"/>
      </rPr>
      <t xml:space="preserve"> booked
capacity (kWh/h/a) ↓→</t>
    </r>
  </si>
  <si>
    <t>0,003 EUR/HUF</t>
  </si>
  <si>
    <t>Exchange Rate:</t>
  </si>
  <si>
    <t>FGSZ data for GY 2019</t>
  </si>
  <si>
    <t>Forecasted bookings (191022)</t>
  </si>
  <si>
    <t>Reference volumes Nm³</t>
  </si>
  <si>
    <t>Punkt bzw. Cluster</t>
  </si>
  <si>
    <t>TVK</t>
  </si>
  <si>
    <t>Prognostizierte kontrahierte FZK</t>
  </si>
  <si>
    <t>Prognostizierte kontrahierte DZK</t>
  </si>
  <si>
    <t>Referenzwert FZK</t>
  </si>
  <si>
    <t>Referenzwert DZK</t>
  </si>
  <si>
    <t>531.335</t>
  </si>
  <si>
    <t>81.872.004</t>
  </si>
  <si>
    <t>9.651.006</t>
  </si>
  <si>
    <t>1.393.155</t>
  </si>
  <si>
    <t>3.357.000</t>
  </si>
  <si>
    <t>Speicher MAB</t>
  </si>
  <si>
    <t>7.273.500</t>
  </si>
  <si>
    <t>5.749.393</t>
  </si>
  <si>
    <t>Speicher 7-fields</t>
  </si>
  <si>
    <t>2.950.825</t>
  </si>
  <si>
    <t>4.031.159</t>
  </si>
  <si>
    <t>50.014.969</t>
  </si>
  <si>
    <t>48.558.893</t>
  </si>
  <si>
    <t>10.272.000</t>
  </si>
  <si>
    <t>5.436.471</t>
  </si>
  <si>
    <t>6.378.300</t>
  </si>
  <si>
    <t>4.688.610</t>
  </si>
  <si>
    <t>3.382.424</t>
  </si>
  <si>
    <t>15.660.325</t>
  </si>
  <si>
    <t>15.660.327</t>
  </si>
  <si>
    <t>1.119.000</t>
  </si>
  <si>
    <t>265.539</t>
  </si>
  <si>
    <t>6.468.514</t>
  </si>
  <si>
    <t>Verteilergebiet 1</t>
  </si>
  <si>
    <t>31.999.754</t>
  </si>
  <si>
    <t>25.004.944</t>
  </si>
  <si>
    <t>7.014.292</t>
  </si>
  <si>
    <t>Verteilernetze Kärnten</t>
  </si>
  <si>
    <t>471.871</t>
  </si>
  <si>
    <t>Punkte bzw. Cluster</t>
  </si>
  <si>
    <t>revenue</t>
  </si>
  <si>
    <t>Total forecasted entry cap.</t>
  </si>
  <si>
    <t>Total forecasted exit cap. MWh/h</t>
  </si>
  <si>
    <t>Model consistency:</t>
  </si>
  <si>
    <t>Tariffs recover cost base?</t>
  </si>
  <si>
    <t>Tariff cap satisfied?</t>
  </si>
  <si>
    <t>ITC amounts correspond?</t>
  </si>
  <si>
    <t>Eff. E/X split: entry share</t>
  </si>
  <si>
    <t>E/X-Split before adjustments: Exit share</t>
  </si>
  <si>
    <t>input</t>
  </si>
  <si>
    <t>result</t>
  </si>
  <si>
    <t>GCA tariffs:</t>
  </si>
  <si>
    <t>Tariff element</t>
  </si>
  <si>
    <t>based</t>
  </si>
  <si>
    <t>Entgelt</t>
  </si>
  <si>
    <t>FZK Exit Petrz.</t>
  </si>
  <si>
    <t>FZK Entry Verteilergebiet</t>
  </si>
  <si>
    <t>DZK Entry ÜA (OK)</t>
  </si>
  <si>
    <t>DZK Exit Verteilergebiet (Bmg)</t>
  </si>
  <si>
    <t>DZK Exit Verteilergebiet (OK)</t>
  </si>
  <si>
    <t>DZK Exit ÜA (OK)</t>
  </si>
  <si>
    <t>ÜA Sudal (ÜA ABG)</t>
  </si>
  <si>
    <t>ÜA ABG (ÜA Sudal)</t>
  </si>
  <si>
    <t>Exit Speicher 7-fields</t>
  </si>
  <si>
    <t>Entry Speicher 7-fields</t>
  </si>
  <si>
    <t>Entry Speicher MAB</t>
  </si>
  <si>
    <t>Exit Speicher MAB</t>
  </si>
  <si>
    <t>TAG tariffs:</t>
  </si>
  <si>
    <t>FZK Exit VG-Kärnten</t>
  </si>
  <si>
    <t>DZK Entry Arnoldstein (VNB)</t>
  </si>
  <si>
    <t>Other results</t>
  </si>
  <si>
    <t>Effective E/X split: entry share</t>
  </si>
  <si>
    <t>Forecasted bookings (kWh/h/a)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</si>
</sst>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#,##0\ &quot;€&quot;;[Red]\-#,##0\ &quot;€&quot;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;\(#,##0.0\);\-"/>
    <numFmt numFmtId="167" formatCode="_-* #,##0.0\ _€_-;\-* #,##0.0\ _€_-;_-* &quot;-&quot;??\ _€_-;_-@_-"/>
    <numFmt numFmtId="168" formatCode="#,##0.0"/>
    <numFmt numFmtId="169" formatCode="_-* #,##0_-;\-* #,##0_-;_-* &quot;-&quot;??_-;_-@_-"/>
    <numFmt numFmtId="170" formatCode="0.000"/>
    <numFmt numFmtId="171" formatCode="0.0%"/>
    <numFmt numFmtId="172" formatCode="0.000000000000000000000"/>
    <numFmt numFmtId="173" formatCode="_-* #,##0.0000_-;\-* #,##0.0000_-;_-* &quot;-&quot;??_-;_-@_-"/>
    <numFmt numFmtId="174" formatCode="#,##0\ _€"/>
    <numFmt numFmtId="175" formatCode="#,##0.00\ _€"/>
    <numFmt numFmtId="176" formatCode="0.00000"/>
    <numFmt numFmtId="177" formatCode="###,###,##0.00"/>
    <numFmt numFmtId="178" formatCode="_-* #,##0.00\ [$€]_-;\-* #,##0.00\ [$€]_-;_-* &quot;-&quot;??\ [$€]_-;_-@_-"/>
    <numFmt numFmtId="179" formatCode="###,###,##0"/>
    <numFmt numFmtId="180" formatCode="###,###,##0.000"/>
    <numFmt numFmtId="181" formatCode="#,##0.00\ &quot;€&quot;"/>
    <numFmt numFmtId="182" formatCode="#,##0.0000"/>
    <numFmt numFmtId="183" formatCode="#,##0.00000"/>
    <numFmt numFmtId="184" formatCode="0.0000"/>
    <numFmt numFmtId="185" formatCode="0.00000%"/>
    <numFmt numFmtId="186" formatCode="_-* #,##0\ _€_-;\-* #,##0\ _€_-;_-* &quot;-&quot;??\ _€_-;_-@_-"/>
    <numFmt numFmtId="187" formatCode="0.000%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b/>
      <sz val="11"/>
      <name val="Calibri"/>
      <family val="2"/>
      <scheme val="minor"/>
    </font>
    <font>
      <b/>
      <sz val="14"/>
      <color indexed="56"/>
      <name val="Trebuchet MS"/>
      <family val="2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theme="0"/>
      <name val="Trebuchet MS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0"/>
      <name val="Trebuchet MS"/>
      <family val="2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Arial"/>
      <family val="2"/>
    </font>
    <font>
      <u/>
      <sz val="11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color theme="1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8"/>
      <color rgb="FF333333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u/>
      <sz val="11"/>
      <color theme="0"/>
      <name val="Calibri"/>
      <family val="2"/>
      <scheme val="minor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0"/>
      <color rgb="FF000000"/>
      <name val="Franklin Gothic Book"/>
      <family val="2"/>
    </font>
    <font>
      <sz val="10"/>
      <color rgb="FF000000"/>
      <name val="Franklin Gothic Book"/>
      <family val="2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sz val="8"/>
      <color theme="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4C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E6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FBFBF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indexed="26"/>
      </patternFill>
    </fill>
    <fill>
      <patternFill patternType="solid">
        <fgColor theme="0" tint="0.59996337778862885"/>
        <bgColor indexed="64"/>
      </patternFill>
    </fill>
    <fill>
      <patternFill patternType="solid">
        <fgColor rgb="FF2A3F8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/>
    <xf numFmtId="0" fontId="15" fillId="0" borderId="0"/>
    <xf numFmtId="9" fontId="15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6" borderId="0" applyNumberFormat="0" applyBorder="0" applyAlignment="0" applyProtection="0"/>
    <xf numFmtId="0" fontId="33" fillId="20" borderId="0" applyNumberFormat="0" applyBorder="0" applyAlignment="0" applyProtection="0"/>
    <xf numFmtId="0" fontId="34" fillId="37" borderId="37" applyNumberFormat="0" applyAlignment="0" applyProtection="0"/>
    <xf numFmtId="0" fontId="35" fillId="38" borderId="38" applyNumberFormat="0" applyAlignment="0" applyProtection="0"/>
    <xf numFmtId="0" fontId="36" fillId="0" borderId="0" applyNumberFormat="0" applyBorder="0" applyProtection="0"/>
    <xf numFmtId="14" fontId="36" fillId="0" borderId="0" applyBorder="0" applyProtection="0"/>
    <xf numFmtId="177" fontId="36" fillId="0" borderId="0" applyBorder="0" applyProtection="0">
      <alignment horizontal="right"/>
    </xf>
    <xf numFmtId="0" fontId="37" fillId="6" borderId="0" applyBorder="0" applyAlignment="0" applyProtection="0"/>
    <xf numFmtId="0" fontId="38" fillId="39" borderId="0" applyAlignment="0" applyProtection="0"/>
    <xf numFmtId="0" fontId="39" fillId="0" borderId="0" applyAlignment="0" applyProtection="0"/>
    <xf numFmtId="0" fontId="40" fillId="0" borderId="0"/>
    <xf numFmtId="16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Protection="0">
      <alignment horizontal="left"/>
    </xf>
    <xf numFmtId="0" fontId="44" fillId="0" borderId="39" applyNumberFormat="0" applyFill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6" fillId="0" borderId="41" applyNumberFormat="0" applyFill="0" applyAlignment="0" applyProtection="0"/>
    <xf numFmtId="0" fontId="46" fillId="0" borderId="0" applyNumberFormat="0" applyFill="0" applyBorder="0" applyAlignment="0" applyProtection="0"/>
    <xf numFmtId="14" fontId="47" fillId="0" borderId="0" applyBorder="0" applyProtection="0"/>
    <xf numFmtId="177" fontId="47" fillId="0" borderId="0" applyBorder="0" applyProtection="0"/>
    <xf numFmtId="179" fontId="47" fillId="0" borderId="0" applyBorder="0" applyProtection="0"/>
    <xf numFmtId="0" fontId="47" fillId="0" borderId="0" applyNumberFormat="0" applyBorder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24" borderId="37" applyNumberFormat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50" fillId="0" borderId="42" applyNumberFormat="0" applyFill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5" fontId="27" fillId="0" borderId="0"/>
    <xf numFmtId="0" fontId="51" fillId="41" borderId="43" applyNumberFormat="0" applyFont="0" applyAlignment="0" applyProtection="0"/>
    <xf numFmtId="179" fontId="36" fillId="0" borderId="0" applyBorder="0" applyProtection="0">
      <alignment horizontal="right"/>
    </xf>
    <xf numFmtId="0" fontId="52" fillId="37" borderId="44" applyNumberFormat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" fillId="0" borderId="0"/>
    <xf numFmtId="0" fontId="27" fillId="0" borderId="0"/>
    <xf numFmtId="0" fontId="27" fillId="0" borderId="0"/>
    <xf numFmtId="0" fontId="53" fillId="0" borderId="0"/>
    <xf numFmtId="0" fontId="1" fillId="0" borderId="0"/>
    <xf numFmtId="0" fontId="54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0" fontId="47" fillId="0" borderId="0" applyBorder="0" applyProtection="0"/>
    <xf numFmtId="180" fontId="36" fillId="0" borderId="0" applyBorder="0" applyProtection="0">
      <alignment horizontal="right"/>
    </xf>
    <xf numFmtId="0" fontId="55" fillId="0" borderId="0" applyNumberFormat="0" applyFill="0" applyBorder="0" applyAlignment="0" applyProtection="0"/>
    <xf numFmtId="0" fontId="56" fillId="0" borderId="45" applyNumberFormat="0" applyFill="0" applyAlignment="0" applyProtection="0"/>
    <xf numFmtId="0" fontId="38" fillId="42" borderId="0" applyNumberFormat="0" applyAlignment="0" applyProtection="0"/>
    <xf numFmtId="0" fontId="39" fillId="0" borderId="0" applyNumberFormat="0" applyAlignment="0" applyProtection="0"/>
    <xf numFmtId="0" fontId="38" fillId="43" borderId="0" applyNumberFormat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34" fillId="37" borderId="78" applyNumberFormat="0" applyAlignment="0" applyProtection="0"/>
    <xf numFmtId="0" fontId="49" fillId="24" borderId="78" applyNumberFormat="0" applyAlignment="0" applyProtection="0"/>
    <xf numFmtId="0" fontId="51" fillId="41" borderId="79" applyNumberFormat="0" applyFont="0" applyAlignment="0" applyProtection="0"/>
    <xf numFmtId="0" fontId="52" fillId="37" borderId="80" applyNumberFormat="0" applyAlignment="0" applyProtection="0"/>
    <xf numFmtId="0" fontId="56" fillId="0" borderId="81" applyNumberFormat="0" applyFill="0" applyAlignment="0" applyProtection="0"/>
  </cellStyleXfs>
  <cellXfs count="647">
    <xf numFmtId="0" fontId="0" fillId="0" borderId="0" xfId="0"/>
    <xf numFmtId="15" fontId="7" fillId="4" borderId="2" xfId="4" applyNumberFormat="1" applyFont="1" applyFill="1" applyBorder="1" applyAlignment="1">
      <alignment horizontal="left"/>
    </xf>
    <xf numFmtId="2" fontId="8" fillId="5" borderId="3" xfId="3" applyNumberFormat="1" applyFont="1" applyFill="1" applyBorder="1" applyAlignment="1">
      <alignment horizontal="center"/>
    </xf>
    <xf numFmtId="0" fontId="1" fillId="0" borderId="0" xfId="4"/>
    <xf numFmtId="166" fontId="9" fillId="0" borderId="4" xfId="4" applyNumberFormat="1" applyFont="1" applyBorder="1"/>
    <xf numFmtId="166" fontId="9" fillId="0" borderId="5" xfId="4" applyNumberFormat="1" applyFont="1" applyBorder="1"/>
    <xf numFmtId="0" fontId="10" fillId="0" borderId="5" xfId="4" applyFont="1" applyBorder="1"/>
    <xf numFmtId="15" fontId="13" fillId="4" borderId="5" xfId="4" applyNumberFormat="1" applyFont="1" applyFill="1" applyBorder="1" applyAlignment="1">
      <alignment horizontal="left"/>
    </xf>
    <xf numFmtId="15" fontId="13" fillId="4" borderId="4" xfId="4" applyNumberFormat="1" applyFont="1" applyFill="1" applyBorder="1" applyAlignment="1">
      <alignment horizontal="left"/>
    </xf>
    <xf numFmtId="15" fontId="13" fillId="4" borderId="5" xfId="4" applyNumberFormat="1" applyFont="1" applyFill="1" applyBorder="1" applyAlignment="1">
      <alignment horizontal="center"/>
    </xf>
    <xf numFmtId="15" fontId="13" fillId="4" borderId="9" xfId="4" applyNumberFormat="1" applyFont="1" applyFill="1" applyBorder="1" applyAlignment="1">
      <alignment horizontal="center"/>
    </xf>
    <xf numFmtId="15" fontId="13" fillId="4" borderId="4" xfId="4" applyNumberFormat="1" applyFont="1" applyFill="1" applyBorder="1" applyAlignment="1">
      <alignment horizontal="center"/>
    </xf>
    <xf numFmtId="15" fontId="13" fillId="4" borderId="0" xfId="4" applyNumberFormat="1" applyFont="1" applyFill="1" applyBorder="1" applyAlignment="1">
      <alignment horizontal="left"/>
    </xf>
    <xf numFmtId="15" fontId="13" fillId="4" borderId="0" xfId="4" applyNumberFormat="1" applyFont="1" applyFill="1" applyBorder="1" applyAlignment="1">
      <alignment horizontal="center"/>
    </xf>
    <xf numFmtId="15" fontId="13" fillId="4" borderId="10" xfId="4" applyNumberFormat="1" applyFont="1" applyFill="1" applyBorder="1" applyAlignment="1">
      <alignment horizontal="center"/>
    </xf>
    <xf numFmtId="15" fontId="13" fillId="4" borderId="12" xfId="4" applyNumberFormat="1" applyFont="1" applyFill="1" applyBorder="1" applyAlignment="1">
      <alignment horizontal="center"/>
    </xf>
    <xf numFmtId="15" fontId="13" fillId="4" borderId="10" xfId="4" applyNumberFormat="1" applyFont="1" applyFill="1" applyBorder="1" applyAlignment="1">
      <alignment horizontal="left"/>
    </xf>
    <xf numFmtId="15" fontId="13" fillId="4" borderId="6" xfId="4" applyNumberFormat="1" applyFont="1" applyFill="1" applyBorder="1" applyAlignment="1">
      <alignment horizontal="left"/>
    </xf>
    <xf numFmtId="15" fontId="13" fillId="4" borderId="7" xfId="4" applyNumberFormat="1" applyFont="1" applyFill="1" applyBorder="1" applyAlignment="1">
      <alignment horizontal="left"/>
    </xf>
    <xf numFmtId="2" fontId="2" fillId="4" borderId="0" xfId="3" applyNumberFormat="1" applyFill="1" applyBorder="1" applyAlignment="1">
      <alignment horizontal="center"/>
    </xf>
    <xf numFmtId="167" fontId="13" fillId="4" borderId="0" xfId="6" applyNumberFormat="1" applyFont="1" applyFill="1" applyBorder="1" applyAlignment="1">
      <alignment horizontal="left"/>
    </xf>
    <xf numFmtId="2" fontId="2" fillId="4" borderId="7" xfId="3" applyNumberFormat="1" applyFill="1" applyBorder="1" applyAlignment="1">
      <alignment horizontal="center"/>
    </xf>
    <xf numFmtId="167" fontId="13" fillId="4" borderId="7" xfId="6" applyNumberFormat="1" applyFont="1" applyFill="1" applyBorder="1" applyAlignment="1">
      <alignment horizontal="left"/>
    </xf>
    <xf numFmtId="15" fontId="13" fillId="4" borderId="21" xfId="4" applyNumberFormat="1" applyFont="1" applyFill="1" applyBorder="1" applyAlignment="1">
      <alignment horizontal="left"/>
    </xf>
    <xf numFmtId="2" fontId="2" fillId="4" borderId="21" xfId="3" applyNumberFormat="1" applyFill="1" applyBorder="1" applyAlignment="1">
      <alignment horizontal="center"/>
    </xf>
    <xf numFmtId="168" fontId="14" fillId="0" borderId="11" xfId="7" applyNumberFormat="1" applyFont="1" applyFill="1" applyBorder="1" applyAlignment="1">
      <alignment horizontal="right"/>
    </xf>
    <xf numFmtId="169" fontId="3" fillId="4" borderId="7" xfId="8" applyNumberFormat="1" applyFont="1" applyFill="1" applyBorder="1" applyAlignment="1">
      <alignment horizontal="center"/>
    </xf>
    <xf numFmtId="168" fontId="14" fillId="0" borderId="20" xfId="7" applyNumberFormat="1" applyFont="1" applyFill="1" applyBorder="1" applyAlignment="1">
      <alignment horizontal="right"/>
    </xf>
    <xf numFmtId="0" fontId="16" fillId="8" borderId="0" xfId="0" applyFont="1" applyFill="1"/>
    <xf numFmtId="0" fontId="0" fillId="0" borderId="0" xfId="0" applyAlignment="1">
      <alignment horizontal="right"/>
    </xf>
    <xf numFmtId="169" fontId="0" fillId="0" borderId="0" xfId="1" applyNumberFormat="1" applyFont="1"/>
    <xf numFmtId="169" fontId="0" fillId="0" borderId="0" xfId="9" applyNumberFormat="1" applyFont="1"/>
    <xf numFmtId="9" fontId="8" fillId="5" borderId="3" xfId="2" applyFont="1" applyFill="1" applyBorder="1" applyAlignment="1">
      <alignment horizontal="center"/>
    </xf>
    <xf numFmtId="0" fontId="5" fillId="0" borderId="0" xfId="0" applyFont="1"/>
    <xf numFmtId="0" fontId="17" fillId="0" borderId="0" xfId="0" applyFont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/>
    <xf numFmtId="3" fontId="0" fillId="0" borderId="0" xfId="0" applyNumberFormat="1"/>
    <xf numFmtId="170" fontId="0" fillId="0" borderId="0" xfId="0" applyNumberFormat="1"/>
    <xf numFmtId="2" fontId="14" fillId="0" borderId="0" xfId="0" applyNumberFormat="1" applyFont="1"/>
    <xf numFmtId="2" fontId="0" fillId="0" borderId="0" xfId="0" applyNumberFormat="1" applyFill="1"/>
    <xf numFmtId="165" fontId="0" fillId="0" borderId="0" xfId="9" applyFont="1"/>
    <xf numFmtId="0" fontId="0" fillId="0" borderId="0" xfId="0" applyAlignment="1">
      <alignment horizontal="center"/>
    </xf>
    <xf numFmtId="0" fontId="5" fillId="0" borderId="25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3" fontId="0" fillId="0" borderId="0" xfId="0" applyNumberFormat="1" applyFill="1"/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0" fillId="0" borderId="0" xfId="0" applyNumberFormat="1" applyFill="1"/>
    <xf numFmtId="0" fontId="5" fillId="0" borderId="24" xfId="0" applyFont="1" applyFill="1" applyBorder="1" applyAlignment="1">
      <alignment horizontal="center" wrapText="1"/>
    </xf>
    <xf numFmtId="2" fontId="14" fillId="0" borderId="0" xfId="0" applyNumberFormat="1" applyFont="1" applyFill="1"/>
    <xf numFmtId="0" fontId="0" fillId="0" borderId="0" xfId="0" applyFill="1"/>
    <xf numFmtId="9" fontId="0" fillId="0" borderId="0" xfId="2" applyFont="1" applyFill="1"/>
    <xf numFmtId="0" fontId="0" fillId="0" borderId="0" xfId="0" applyFill="1" applyBorder="1"/>
    <xf numFmtId="3" fontId="19" fillId="0" borderId="0" xfId="0" applyNumberFormat="1" applyFont="1"/>
    <xf numFmtId="0" fontId="19" fillId="0" borderId="0" xfId="0" applyFont="1"/>
    <xf numFmtId="171" fontId="0" fillId="0" borderId="0" xfId="2" applyNumberFormat="1" applyFont="1"/>
    <xf numFmtId="169" fontId="14" fillId="0" borderId="0" xfId="9" applyNumberFormat="1" applyFont="1"/>
    <xf numFmtId="172" fontId="0" fillId="0" borderId="0" xfId="0" applyNumberFormat="1"/>
    <xf numFmtId="0" fontId="0" fillId="0" borderId="0" xfId="0" applyBorder="1"/>
    <xf numFmtId="4" fontId="14" fillId="0" borderId="0" xfId="0" applyNumberFormat="1" applyFont="1"/>
    <xf numFmtId="3" fontId="16" fillId="8" borderId="0" xfId="0" applyNumberFormat="1" applyFont="1" applyFill="1"/>
    <xf numFmtId="3" fontId="0" fillId="0" borderId="0" xfId="0" applyNumberForma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8" fillId="0" borderId="24" xfId="0" applyNumberFormat="1" applyFont="1" applyFill="1" applyBorder="1" applyAlignment="1">
      <alignment horizontal="center" wrapText="1"/>
    </xf>
    <xf numFmtId="165" fontId="0" fillId="0" borderId="0" xfId="9" applyFont="1" applyFill="1"/>
    <xf numFmtId="3" fontId="19" fillId="0" borderId="0" xfId="0" applyNumberFormat="1" applyFont="1" applyFill="1"/>
    <xf numFmtId="2" fontId="8" fillId="5" borderId="3" xfId="2" applyNumberFormat="1" applyFont="1" applyFill="1" applyBorder="1" applyAlignment="1">
      <alignment horizontal="center"/>
    </xf>
    <xf numFmtId="2" fontId="2" fillId="4" borderId="5" xfId="3" applyNumberFormat="1" applyFill="1" applyBorder="1" applyAlignment="1">
      <alignment horizontal="center"/>
    </xf>
    <xf numFmtId="167" fontId="13" fillId="4" borderId="5" xfId="6" applyNumberFormat="1" applyFont="1" applyFill="1" applyBorder="1" applyAlignment="1">
      <alignment horizontal="left"/>
    </xf>
    <xf numFmtId="167" fontId="13" fillId="4" borderId="9" xfId="6" applyNumberFormat="1" applyFont="1" applyFill="1" applyBorder="1" applyAlignment="1">
      <alignment horizontal="left"/>
    </xf>
    <xf numFmtId="167" fontId="13" fillId="4" borderId="12" xfId="6" applyNumberFormat="1" applyFont="1" applyFill="1" applyBorder="1" applyAlignment="1">
      <alignment horizontal="left"/>
    </xf>
    <xf numFmtId="167" fontId="13" fillId="4" borderId="23" xfId="6" applyNumberFormat="1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168" fontId="8" fillId="9" borderId="3" xfId="3" applyNumberFormat="1" applyFont="1" applyFill="1" applyBorder="1" applyAlignment="1">
      <alignment horizontal="right"/>
    </xf>
    <xf numFmtId="2" fontId="2" fillId="4" borderId="12" xfId="3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0" fillId="0" borderId="0" xfId="0" applyNumberFormat="1"/>
    <xf numFmtId="3" fontId="5" fillId="0" borderId="0" xfId="0" applyNumberFormat="1" applyFont="1"/>
    <xf numFmtId="168" fontId="14" fillId="0" borderId="22" xfId="3" applyNumberFormat="1" applyFont="1" applyFill="1" applyBorder="1" applyAlignment="1">
      <alignment horizontal="right"/>
    </xf>
    <xf numFmtId="168" fontId="14" fillId="0" borderId="22" xfId="7" applyNumberFormat="1" applyFont="1" applyFill="1" applyBorder="1" applyAlignment="1">
      <alignment horizontal="right"/>
    </xf>
    <xf numFmtId="15" fontId="7" fillId="4" borderId="21" xfId="4" applyNumberFormat="1" applyFont="1" applyFill="1" applyBorder="1" applyAlignment="1">
      <alignment horizontal="left"/>
    </xf>
    <xf numFmtId="2" fontId="0" fillId="0" borderId="0" xfId="0" applyNumberFormat="1" applyFill="1" applyBorder="1"/>
    <xf numFmtId="3" fontId="0" fillId="0" borderId="0" xfId="0" applyNumberFormat="1" applyFill="1" applyBorder="1"/>
    <xf numFmtId="0" fontId="17" fillId="0" borderId="0" xfId="0" applyFont="1" applyFill="1" applyAlignment="1">
      <alignment horizontal="center"/>
    </xf>
    <xf numFmtId="3" fontId="14" fillId="0" borderId="0" xfId="0" applyNumberFormat="1" applyFont="1" applyFill="1"/>
    <xf numFmtId="15" fontId="7" fillId="4" borderId="4" xfId="4" applyNumberFormat="1" applyFont="1" applyFill="1" applyBorder="1" applyAlignment="1">
      <alignment horizontal="left"/>
    </xf>
    <xf numFmtId="15" fontId="7" fillId="4" borderId="2" xfId="4" applyNumberFormat="1" applyFont="1" applyFill="1" applyBorder="1" applyAlignment="1">
      <alignment horizontal="left" indent="1"/>
    </xf>
    <xf numFmtId="168" fontId="14" fillId="0" borderId="8" xfId="7" applyNumberFormat="1" applyFont="1" applyFill="1" applyBorder="1" applyAlignment="1">
      <alignment horizontal="right"/>
    </xf>
    <xf numFmtId="2" fontId="8" fillId="0" borderId="13" xfId="3" applyNumberFormat="1" applyFont="1" applyFill="1" applyBorder="1" applyAlignment="1">
      <alignment horizontal="center"/>
    </xf>
    <xf numFmtId="0" fontId="0" fillId="0" borderId="5" xfId="0" applyBorder="1"/>
    <xf numFmtId="15" fontId="23" fillId="4" borderId="0" xfId="4" applyNumberFormat="1" applyFont="1" applyFill="1" applyBorder="1" applyAlignment="1">
      <alignment horizontal="center"/>
    </xf>
    <xf numFmtId="15" fontId="23" fillId="4" borderId="10" xfId="4" applyNumberFormat="1" applyFont="1" applyFill="1" applyBorder="1" applyAlignment="1">
      <alignment horizontal="center"/>
    </xf>
    <xf numFmtId="15" fontId="23" fillId="4" borderId="12" xfId="4" applyNumberFormat="1" applyFont="1" applyFill="1" applyBorder="1" applyAlignment="1">
      <alignment horizontal="center"/>
    </xf>
    <xf numFmtId="15" fontId="7" fillId="4" borderId="2" xfId="4" applyNumberFormat="1" applyFont="1" applyFill="1" applyBorder="1" applyAlignment="1">
      <alignment horizontal="left" indent="2"/>
    </xf>
    <xf numFmtId="0" fontId="1" fillId="0" borderId="0" xfId="4" applyAlignment="1">
      <alignment horizontal="center"/>
    </xf>
    <xf numFmtId="0" fontId="10" fillId="0" borderId="5" xfId="4" applyFont="1" applyBorder="1" applyAlignment="1">
      <alignment horizontal="center"/>
    </xf>
    <xf numFmtId="6" fontId="23" fillId="4" borderId="0" xfId="4" applyNumberFormat="1" applyFont="1" applyFill="1" applyBorder="1" applyAlignment="1">
      <alignment horizontal="center"/>
    </xf>
    <xf numFmtId="3" fontId="8" fillId="9" borderId="3" xfId="3" applyNumberFormat="1" applyFont="1" applyFill="1" applyBorder="1" applyAlignment="1">
      <alignment horizontal="right"/>
    </xf>
    <xf numFmtId="15" fontId="7" fillId="13" borderId="2" xfId="4" applyNumberFormat="1" applyFont="1" applyFill="1" applyBorder="1" applyAlignment="1">
      <alignment horizontal="left"/>
    </xf>
    <xf numFmtId="2" fontId="8" fillId="0" borderId="17" xfId="3" applyNumberFormat="1" applyFont="1" applyFill="1" applyBorder="1" applyAlignment="1">
      <alignment horizontal="center"/>
    </xf>
    <xf numFmtId="49" fontId="13" fillId="4" borderId="0" xfId="4" applyNumberFormat="1" applyFont="1" applyFill="1" applyBorder="1" applyAlignment="1">
      <alignment horizontal="center"/>
    </xf>
    <xf numFmtId="15" fontId="23" fillId="4" borderId="0" xfId="4" quotePrefix="1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0" fillId="0" borderId="9" xfId="0" applyBorder="1"/>
    <xf numFmtId="0" fontId="11" fillId="0" borderId="0" xfId="0" applyFont="1"/>
    <xf numFmtId="0" fontId="11" fillId="0" borderId="0" xfId="0" applyFont="1" applyAlignment="1">
      <alignment horizontal="center"/>
    </xf>
    <xf numFmtId="9" fontId="14" fillId="0" borderId="0" xfId="2" applyFont="1" applyFill="1"/>
    <xf numFmtId="0" fontId="25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3" fontId="25" fillId="0" borderId="0" xfId="0" applyNumberFormat="1" applyFont="1" applyFill="1"/>
    <xf numFmtId="9" fontId="25" fillId="0" borderId="0" xfId="2" applyFont="1" applyFill="1"/>
    <xf numFmtId="0" fontId="0" fillId="0" borderId="0" xfId="0" applyAlignment="1">
      <alignment horizontal="left"/>
    </xf>
    <xf numFmtId="0" fontId="16" fillId="7" borderId="0" xfId="0" applyFont="1" applyFill="1"/>
    <xf numFmtId="3" fontId="16" fillId="7" borderId="0" xfId="0" applyNumberFormat="1" applyFont="1" applyFill="1"/>
    <xf numFmtId="173" fontId="0" fillId="0" borderId="0" xfId="0" applyNumberFormat="1"/>
    <xf numFmtId="168" fontId="8" fillId="0" borderId="20" xfId="7" applyNumberFormat="1" applyFont="1" applyFill="1" applyBorder="1" applyAlignment="1">
      <alignment horizontal="right"/>
    </xf>
    <xf numFmtId="0" fontId="18" fillId="12" borderId="0" xfId="0" applyFont="1" applyFill="1"/>
    <xf numFmtId="0" fontId="0" fillId="12" borderId="0" xfId="0" applyFont="1" applyFill="1"/>
    <xf numFmtId="0" fontId="0" fillId="0" borderId="0" xfId="0" applyFont="1"/>
    <xf numFmtId="0" fontId="14" fillId="12" borderId="0" xfId="10" applyFont="1" applyFill="1"/>
    <xf numFmtId="0" fontId="0" fillId="12" borderId="0" xfId="0" applyFont="1" applyFill="1" applyBorder="1"/>
    <xf numFmtId="1" fontId="0" fillId="12" borderId="0" xfId="0" applyNumberFormat="1" applyFont="1" applyFill="1" applyBorder="1"/>
    <xf numFmtId="0" fontId="17" fillId="12" borderId="0" xfId="0" applyFont="1" applyFill="1"/>
    <xf numFmtId="0" fontId="0" fillId="0" borderId="0" xfId="0" applyFont="1" applyAlignment="1">
      <alignment wrapText="1"/>
    </xf>
    <xf numFmtId="0" fontId="0" fillId="12" borderId="0" xfId="0" applyFont="1" applyFill="1" applyAlignment="1">
      <alignment wrapText="1"/>
    </xf>
    <xf numFmtId="0" fontId="14" fillId="0" borderId="0" xfId="0" applyFont="1" applyFill="1" applyBorder="1"/>
    <xf numFmtId="174" fontId="0" fillId="12" borderId="0" xfId="10" applyNumberFormat="1" applyFont="1" applyFill="1" applyBorder="1" applyAlignment="1">
      <alignment horizontal="center"/>
    </xf>
    <xf numFmtId="174" fontId="0" fillId="12" borderId="0" xfId="0" applyNumberFormat="1" applyFont="1" applyFill="1" applyAlignment="1">
      <alignment horizontal="center"/>
    </xf>
    <xf numFmtId="0" fontId="20" fillId="12" borderId="0" xfId="0" applyFont="1" applyFill="1"/>
    <xf numFmtId="3" fontId="0" fillId="12" borderId="0" xfId="0" applyNumberFormat="1" applyFont="1" applyFill="1"/>
    <xf numFmtId="3" fontId="14" fillId="12" borderId="0" xfId="0" applyNumberFormat="1" applyFont="1" applyFill="1"/>
    <xf numFmtId="3" fontId="0" fillId="12" borderId="0" xfId="0" applyNumberFormat="1" applyFont="1" applyFill="1" applyBorder="1"/>
    <xf numFmtId="0" fontId="8" fillId="12" borderId="32" xfId="0" applyFont="1" applyFill="1" applyBorder="1"/>
    <xf numFmtId="10" fontId="8" fillId="12" borderId="32" xfId="2" applyNumberFormat="1" applyFont="1" applyFill="1" applyBorder="1" applyAlignment="1">
      <alignment horizontal="center"/>
    </xf>
    <xf numFmtId="0" fontId="6" fillId="14" borderId="32" xfId="10" applyFont="1" applyFill="1" applyBorder="1" applyAlignment="1">
      <alignment horizontal="center" wrapText="1"/>
    </xf>
    <xf numFmtId="174" fontId="0" fillId="0" borderId="32" xfId="10" applyNumberFormat="1" applyFont="1" applyFill="1" applyBorder="1" applyAlignment="1">
      <alignment horizontal="right"/>
    </xf>
    <xf numFmtId="0" fontId="3" fillId="14" borderId="32" xfId="0" applyFont="1" applyFill="1" applyBorder="1" applyAlignment="1">
      <alignment horizontal="center"/>
    </xf>
    <xf numFmtId="171" fontId="8" fillId="9" borderId="3" xfId="2" applyNumberFormat="1" applyFont="1" applyFill="1" applyBorder="1" applyAlignment="1">
      <alignment horizontal="right"/>
    </xf>
    <xf numFmtId="0" fontId="0" fillId="12" borderId="0" xfId="0" applyFont="1" applyFill="1" applyAlignment="1">
      <alignment horizontal="right"/>
    </xf>
    <xf numFmtId="0" fontId="0" fillId="12" borderId="0" xfId="0" applyFont="1" applyFill="1" applyBorder="1" applyAlignment="1">
      <alignment horizontal="right"/>
    </xf>
    <xf numFmtId="0" fontId="14" fillId="12" borderId="25" xfId="10" applyFont="1" applyFill="1" applyBorder="1" applyAlignment="1">
      <alignment horizontal="right"/>
    </xf>
    <xf numFmtId="0" fontId="14" fillId="12" borderId="26" xfId="10" applyFont="1" applyFill="1" applyBorder="1" applyAlignment="1">
      <alignment horizontal="right"/>
    </xf>
    <xf numFmtId="3" fontId="0" fillId="12" borderId="32" xfId="0" applyNumberFormat="1" applyFont="1" applyFill="1" applyBorder="1"/>
    <xf numFmtId="3" fontId="8" fillId="12" borderId="32" xfId="0" applyNumberFormat="1" applyFont="1" applyFill="1" applyBorder="1"/>
    <xf numFmtId="3" fontId="14" fillId="12" borderId="32" xfId="0" applyNumberFormat="1" applyFont="1" applyFill="1" applyBorder="1"/>
    <xf numFmtId="0" fontId="8" fillId="12" borderId="32" xfId="0" applyFont="1" applyFill="1" applyBorder="1" applyAlignment="1">
      <alignment horizontal="right"/>
    </xf>
    <xf numFmtId="0" fontId="6" fillId="15" borderId="32" xfId="10" applyFont="1" applyFill="1" applyBorder="1" applyAlignment="1">
      <alignment vertical="center"/>
    </xf>
    <xf numFmtId="0" fontId="6" fillId="14" borderId="32" xfId="10" applyFont="1" applyFill="1" applyBorder="1" applyAlignment="1">
      <alignment vertical="center"/>
    </xf>
    <xf numFmtId="0" fontId="6" fillId="14" borderId="32" xfId="10" applyFont="1" applyFill="1" applyBorder="1" applyAlignment="1">
      <alignment vertical="center" wrapText="1"/>
    </xf>
    <xf numFmtId="0" fontId="6" fillId="15" borderId="34" xfId="10" applyFont="1" applyFill="1" applyBorder="1" applyAlignment="1">
      <alignment horizontal="center" wrapText="1"/>
    </xf>
    <xf numFmtId="0" fontId="6" fillId="14" borderId="26" xfId="10" applyFont="1" applyFill="1" applyBorder="1" applyAlignment="1">
      <alignment horizontal="right"/>
    </xf>
    <xf numFmtId="174" fontId="14" fillId="12" borderId="26" xfId="10" applyNumberFormat="1" applyFont="1" applyFill="1" applyBorder="1" applyAlignment="1">
      <alignment horizontal="right"/>
    </xf>
    <xf numFmtId="174" fontId="14" fillId="12" borderId="32" xfId="10" applyNumberFormat="1" applyFont="1" applyFill="1" applyBorder="1" applyAlignment="1">
      <alignment horizontal="right"/>
    </xf>
    <xf numFmtId="175" fontId="14" fillId="11" borderId="32" xfId="10" applyNumberFormat="1" applyFont="1" applyFill="1" applyBorder="1" applyAlignment="1">
      <alignment horizontal="right"/>
    </xf>
    <xf numFmtId="0" fontId="18" fillId="12" borderId="0" xfId="0" applyFont="1" applyFill="1" applyAlignment="1">
      <alignment horizontal="center"/>
    </xf>
    <xf numFmtId="0" fontId="4" fillId="12" borderId="0" xfId="0" applyFont="1" applyFill="1"/>
    <xf numFmtId="174" fontId="0" fillId="12" borderId="0" xfId="0" applyNumberFormat="1" applyFont="1" applyFill="1"/>
    <xf numFmtId="174" fontId="29" fillId="12" borderId="0" xfId="10" applyNumberFormat="1" applyFont="1" applyFill="1" applyBorder="1" applyAlignment="1"/>
    <xf numFmtId="0" fontId="4" fillId="12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right"/>
    </xf>
    <xf numFmtId="0" fontId="4" fillId="12" borderId="0" xfId="0" applyFont="1" applyFill="1" applyAlignment="1">
      <alignment horizontal="right"/>
    </xf>
    <xf numFmtId="0" fontId="0" fillId="12" borderId="0" xfId="0" applyFont="1" applyFill="1" applyAlignment="1">
      <alignment horizontal="center"/>
    </xf>
    <xf numFmtId="2" fontId="14" fillId="0" borderId="32" xfId="10" applyNumberFormat="1" applyFont="1" applyFill="1" applyBorder="1" applyAlignment="1">
      <alignment vertical="center"/>
    </xf>
    <xf numFmtId="0" fontId="30" fillId="0" borderId="0" xfId="0" applyFont="1"/>
    <xf numFmtId="0" fontId="3" fillId="17" borderId="36" xfId="0" applyFont="1" applyFill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0" fillId="0" borderId="32" xfId="0" applyBorder="1"/>
    <xf numFmtId="2" fontId="0" fillId="12" borderId="32" xfId="0" applyNumberFormat="1" applyFill="1" applyBorder="1"/>
    <xf numFmtId="2" fontId="0" fillId="18" borderId="32" xfId="0" applyNumberFormat="1" applyFill="1" applyBorder="1"/>
    <xf numFmtId="3" fontId="0" fillId="0" borderId="32" xfId="0" applyNumberFormat="1" applyBorder="1"/>
    <xf numFmtId="3" fontId="0" fillId="0" borderId="32" xfId="0" applyNumberFormat="1" applyFont="1" applyFill="1" applyBorder="1"/>
    <xf numFmtId="0" fontId="3" fillId="17" borderId="0" xfId="0" applyFont="1" applyFill="1" applyBorder="1" applyAlignment="1">
      <alignment horizontal="center" wrapText="1"/>
    </xf>
    <xf numFmtId="0" fontId="0" fillId="0" borderId="33" xfId="0" applyBorder="1"/>
    <xf numFmtId="0" fontId="0" fillId="18" borderId="0" xfId="0" applyFill="1"/>
    <xf numFmtId="0" fontId="0" fillId="18" borderId="33" xfId="0" applyFont="1" applyFill="1" applyBorder="1"/>
    <xf numFmtId="0" fontId="0" fillId="18" borderId="32" xfId="0" applyFont="1" applyFill="1" applyBorder="1"/>
    <xf numFmtId="2" fontId="0" fillId="18" borderId="32" xfId="0" applyNumberFormat="1" applyFont="1" applyFill="1" applyBorder="1"/>
    <xf numFmtId="176" fontId="0" fillId="18" borderId="32" xfId="0" applyNumberFormat="1" applyFont="1" applyFill="1" applyBorder="1"/>
    <xf numFmtId="1" fontId="14" fillId="0" borderId="32" xfId="0" applyNumberFormat="1" applyFont="1" applyFill="1" applyBorder="1" applyAlignment="1">
      <alignment horizontal="right"/>
    </xf>
    <xf numFmtId="0" fontId="6" fillId="14" borderId="26" xfId="10" applyFont="1" applyFill="1" applyBorder="1" applyAlignment="1">
      <alignment horizontal="center" wrapText="1"/>
    </xf>
    <xf numFmtId="0" fontId="28" fillId="12" borderId="0" xfId="10" applyFont="1" applyFill="1" applyAlignment="1">
      <alignment horizontal="right"/>
    </xf>
    <xf numFmtId="1" fontId="0" fillId="12" borderId="0" xfId="0" applyNumberFormat="1" applyFont="1" applyFill="1"/>
    <xf numFmtId="0" fontId="14" fillId="5" borderId="32" xfId="0" applyFont="1" applyFill="1" applyBorder="1" applyAlignment="1">
      <alignment horizontal="center"/>
    </xf>
    <xf numFmtId="0" fontId="14" fillId="12" borderId="24" xfId="10" applyFont="1" applyFill="1" applyBorder="1" applyAlignment="1">
      <alignment horizontal="right"/>
    </xf>
    <xf numFmtId="2" fontId="14" fillId="0" borderId="32" xfId="1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right"/>
    </xf>
    <xf numFmtId="0" fontId="6" fillId="15" borderId="47" xfId="10" applyFont="1" applyFill="1" applyBorder="1" applyAlignment="1">
      <alignment horizontal="left" wrapText="1"/>
    </xf>
    <xf numFmtId="0" fontId="6" fillId="15" borderId="47" xfId="10" applyFont="1" applyFill="1" applyBorder="1" applyAlignment="1">
      <alignment horizontal="right" wrapText="1"/>
    </xf>
    <xf numFmtId="0" fontId="6" fillId="15" borderId="32" xfId="10" applyFont="1" applyFill="1" applyBorder="1" applyAlignment="1">
      <alignment horizontal="left" vertical="center"/>
    </xf>
    <xf numFmtId="0" fontId="6" fillId="15" borderId="32" xfId="10" applyFont="1" applyFill="1" applyBorder="1" applyAlignment="1">
      <alignment horizontal="right" vertical="center"/>
    </xf>
    <xf numFmtId="3" fontId="14" fillId="12" borderId="26" xfId="0" applyNumberFormat="1" applyFont="1" applyFill="1" applyBorder="1" applyAlignment="1"/>
    <xf numFmtId="0" fontId="14" fillId="12" borderId="48" xfId="10" applyFont="1" applyFill="1" applyBorder="1" applyAlignment="1">
      <alignment horizontal="right"/>
    </xf>
    <xf numFmtId="0" fontId="14" fillId="12" borderId="49" xfId="10" applyFont="1" applyFill="1" applyBorder="1" applyAlignment="1">
      <alignment horizontal="right"/>
    </xf>
    <xf numFmtId="0" fontId="14" fillId="12" borderId="46" xfId="10" applyFont="1" applyFill="1" applyBorder="1" applyAlignment="1">
      <alignment horizontal="right"/>
    </xf>
    <xf numFmtId="3" fontId="8" fillId="12" borderId="26" xfId="0" applyNumberFormat="1" applyFont="1" applyFill="1" applyBorder="1"/>
    <xf numFmtId="0" fontId="6" fillId="14" borderId="25" xfId="10" applyFont="1" applyFill="1" applyBorder="1" applyAlignment="1">
      <alignment horizontal="right"/>
    </xf>
    <xf numFmtId="0" fontId="6" fillId="14" borderId="24" xfId="10" applyFont="1" applyFill="1" applyBorder="1" applyAlignment="1">
      <alignment horizontal="right"/>
    </xf>
    <xf numFmtId="0" fontId="6" fillId="14" borderId="48" xfId="10" applyFont="1" applyFill="1" applyBorder="1" applyAlignment="1">
      <alignment horizontal="right"/>
    </xf>
    <xf numFmtId="0" fontId="6" fillId="14" borderId="49" xfId="10" applyFont="1" applyFill="1" applyBorder="1" applyAlignment="1">
      <alignment horizontal="right"/>
    </xf>
    <xf numFmtId="0" fontId="6" fillId="14" borderId="46" xfId="10" applyFont="1" applyFill="1" applyBorder="1" applyAlignment="1">
      <alignment horizontal="right"/>
    </xf>
    <xf numFmtId="3" fontId="14" fillId="12" borderId="26" xfId="0" applyNumberFormat="1" applyFont="1" applyFill="1" applyBorder="1"/>
    <xf numFmtId="3" fontId="4" fillId="0" borderId="0" xfId="0" applyNumberFormat="1" applyFont="1" applyFill="1"/>
    <xf numFmtId="0" fontId="4" fillId="0" borderId="0" xfId="0" applyFont="1" applyFill="1"/>
    <xf numFmtId="0" fontId="3" fillId="17" borderId="51" xfId="0" applyFont="1" applyFill="1" applyBorder="1" applyAlignment="1">
      <alignment horizontal="center" vertical="center" wrapText="1"/>
    </xf>
    <xf numFmtId="9" fontId="0" fillId="0" borderId="0" xfId="2" quotePrefix="1" applyFont="1" applyFill="1"/>
    <xf numFmtId="9" fontId="0" fillId="0" borderId="0" xfId="0" applyNumberFormat="1" applyFill="1"/>
    <xf numFmtId="9" fontId="0" fillId="0" borderId="0" xfId="2" quotePrefix="1" applyFont="1"/>
    <xf numFmtId="9" fontId="0" fillId="0" borderId="0" xfId="0" applyNumberFormat="1"/>
    <xf numFmtId="181" fontId="60" fillId="0" borderId="0" xfId="62" applyNumberFormat="1" applyFont="1" applyFill="1" applyBorder="1"/>
    <xf numFmtId="0" fontId="0" fillId="0" borderId="0" xfId="0" applyAlignment="1">
      <alignment vertical="center"/>
    </xf>
    <xf numFmtId="4" fontId="0" fillId="18" borderId="0" xfId="0" applyNumberFormat="1" applyFont="1" applyFill="1" applyBorder="1"/>
    <xf numFmtId="0" fontId="3" fillId="17" borderId="53" xfId="0" applyFont="1" applyFill="1" applyBorder="1" applyAlignment="1">
      <alignment horizontal="left" wrapText="1"/>
    </xf>
    <xf numFmtId="3" fontId="0" fillId="0" borderId="66" xfId="0" applyNumberFormat="1" applyFont="1" applyFill="1" applyBorder="1"/>
    <xf numFmtId="2" fontId="14" fillId="18" borderId="58" xfId="0" applyNumberFormat="1" applyFont="1" applyFill="1" applyBorder="1"/>
    <xf numFmtId="4" fontId="0" fillId="0" borderId="57" xfId="0" applyNumberFormat="1" applyBorder="1"/>
    <xf numFmtId="2" fontId="14" fillId="18" borderId="64" xfId="0" applyNumberFormat="1" applyFont="1" applyFill="1" applyBorder="1"/>
    <xf numFmtId="4" fontId="0" fillId="0" borderId="63" xfId="0" applyNumberFormat="1" applyBorder="1"/>
    <xf numFmtId="4" fontId="0" fillId="0" borderId="70" xfId="0" applyNumberFormat="1" applyBorder="1"/>
    <xf numFmtId="0" fontId="3" fillId="17" borderId="0" xfId="0" applyFont="1" applyFill="1" applyBorder="1" applyAlignment="1">
      <alignment horizontal="left" wrapText="1"/>
    </xf>
    <xf numFmtId="2" fontId="14" fillId="18" borderId="60" xfId="0" applyNumberFormat="1" applyFont="1" applyFill="1" applyBorder="1"/>
    <xf numFmtId="4" fontId="0" fillId="0" borderId="58" xfId="0" applyNumberFormat="1" applyBorder="1"/>
    <xf numFmtId="4" fontId="0" fillId="0" borderId="0" xfId="0" applyNumberFormat="1"/>
    <xf numFmtId="0" fontId="61" fillId="0" borderId="0" xfId="0" applyFont="1" applyAlignment="1">
      <alignment horizontal="right"/>
    </xf>
    <xf numFmtId="0" fontId="0" fillId="0" borderId="0" xfId="0" applyAlignment="1"/>
    <xf numFmtId="0" fontId="62" fillId="0" borderId="0" xfId="0" applyFont="1"/>
    <xf numFmtId="0" fontId="3" fillId="17" borderId="54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77" xfId="0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wrapText="1"/>
    </xf>
    <xf numFmtId="0" fontId="0" fillId="0" borderId="63" xfId="0" applyBorder="1"/>
    <xf numFmtId="3" fontId="14" fillId="0" borderId="63" xfId="0" applyNumberFormat="1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0" fillId="0" borderId="57" xfId="0" applyBorder="1"/>
    <xf numFmtId="3" fontId="14" fillId="0" borderId="57" xfId="0" applyNumberFormat="1" applyFont="1" applyFill="1" applyBorder="1" applyAlignment="1">
      <alignment wrapText="1"/>
    </xf>
    <xf numFmtId="0" fontId="0" fillId="0" borderId="70" xfId="0" applyBorder="1"/>
    <xf numFmtId="0" fontId="0" fillId="0" borderId="72" xfId="0" applyBorder="1"/>
    <xf numFmtId="0" fontId="0" fillId="0" borderId="77" xfId="0" applyBorder="1"/>
    <xf numFmtId="170" fontId="0" fillId="0" borderId="0" xfId="0" applyNumberFormat="1" applyFill="1"/>
    <xf numFmtId="1" fontId="0" fillId="0" borderId="0" xfId="0" applyNumberFormat="1" applyFill="1" applyAlignment="1">
      <alignment horizontal="center"/>
    </xf>
    <xf numFmtId="9" fontId="0" fillId="0" borderId="0" xfId="2" applyFont="1"/>
    <xf numFmtId="0" fontId="5" fillId="0" borderId="0" xfId="0" applyFont="1" applyAlignment="1">
      <alignment horizontal="right" vertical="center"/>
    </xf>
    <xf numFmtId="0" fontId="29" fillId="0" borderId="0" xfId="0" applyFont="1"/>
    <xf numFmtId="0" fontId="29" fillId="0" borderId="0" xfId="0" applyFont="1" applyAlignment="1">
      <alignment horizontal="right"/>
    </xf>
    <xf numFmtId="171" fontId="5" fillId="0" borderId="22" xfId="2" applyNumberFormat="1" applyFont="1" applyBorder="1" applyAlignment="1">
      <alignment vertical="center"/>
    </xf>
    <xf numFmtId="0" fontId="3" fillId="17" borderId="50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3" fillId="17" borderId="61" xfId="0" applyFont="1" applyFill="1" applyBorder="1" applyAlignment="1">
      <alignment wrapText="1"/>
    </xf>
    <xf numFmtId="0" fontId="3" fillId="17" borderId="53" xfId="0" applyFont="1" applyFill="1" applyBorder="1" applyAlignment="1">
      <alignment horizontal="center" wrapText="1"/>
    </xf>
    <xf numFmtId="0" fontId="3" fillId="17" borderId="65" xfId="0" applyFont="1" applyFill="1" applyBorder="1" applyAlignment="1">
      <alignment horizontal="center" wrapText="1"/>
    </xf>
    <xf numFmtId="0" fontId="3" fillId="17" borderId="54" xfId="0" applyFont="1" applyFill="1" applyBorder="1" applyAlignment="1">
      <alignment horizontal="center" wrapText="1"/>
    </xf>
    <xf numFmtId="2" fontId="14" fillId="18" borderId="70" xfId="0" applyNumberFormat="1" applyFont="1" applyFill="1" applyBorder="1"/>
    <xf numFmtId="2" fontId="14" fillId="18" borderId="72" xfId="0" applyNumberFormat="1" applyFont="1" applyFill="1" applyBorder="1"/>
    <xf numFmtId="2" fontId="14" fillId="18" borderId="77" xfId="0" applyNumberFormat="1" applyFont="1" applyFill="1" applyBorder="1"/>
    <xf numFmtId="0" fontId="14" fillId="0" borderId="7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10" fontId="0" fillId="0" borderId="0" xfId="2" applyNumberFormat="1" applyFont="1" applyFill="1"/>
    <xf numFmtId="0" fontId="0" fillId="0" borderId="0" xfId="0"/>
    <xf numFmtId="2" fontId="0" fillId="0" borderId="0" xfId="0" applyNumberFormat="1" applyFill="1"/>
    <xf numFmtId="182" fontId="5" fillId="0" borderId="49" xfId="0" applyNumberFormat="1" applyFont="1" applyBorder="1"/>
    <xf numFmtId="0" fontId="5" fillId="0" borderId="0" xfId="0" applyFont="1" applyBorder="1" applyAlignment="1">
      <alignment horizontal="right"/>
    </xf>
    <xf numFmtId="182" fontId="5" fillId="0" borderId="0" xfId="0" applyNumberFormat="1" applyFont="1" applyBorder="1"/>
    <xf numFmtId="183" fontId="0" fillId="18" borderId="0" xfId="0" applyNumberFormat="1" applyFill="1"/>
    <xf numFmtId="9" fontId="0" fillId="18" borderId="0" xfId="0" applyNumberFormat="1" applyFill="1"/>
    <xf numFmtId="183" fontId="5" fillId="0" borderId="0" xfId="0" applyNumberFormat="1" applyFont="1" applyFill="1"/>
    <xf numFmtId="183" fontId="0" fillId="0" borderId="0" xfId="0" applyNumberFormat="1" applyFill="1"/>
    <xf numFmtId="182" fontId="0" fillId="0" borderId="0" xfId="0" applyNumberFormat="1"/>
    <xf numFmtId="0" fontId="65" fillId="0" borderId="0" xfId="0" applyFont="1"/>
    <xf numFmtId="182" fontId="0" fillId="0" borderId="0" xfId="0" applyNumberFormat="1" applyFont="1" applyFill="1"/>
    <xf numFmtId="0" fontId="5" fillId="0" borderId="2" xfId="0" applyFont="1" applyBorder="1"/>
    <xf numFmtId="2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10" fontId="8" fillId="9" borderId="3" xfId="2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0" fontId="3" fillId="12" borderId="0" xfId="0" applyFont="1" applyFill="1"/>
    <xf numFmtId="0" fontId="0" fillId="12" borderId="0" xfId="0" applyFill="1"/>
    <xf numFmtId="170" fontId="0" fillId="0" borderId="0" xfId="0" applyNumberFormat="1" applyFill="1" applyAlignment="1">
      <alignment horizontal="center"/>
    </xf>
    <xf numFmtId="184" fontId="0" fillId="0" borderId="0" xfId="0" applyNumberFormat="1" applyFill="1" applyAlignment="1">
      <alignment horizontal="center"/>
    </xf>
    <xf numFmtId="185" fontId="5" fillId="0" borderId="22" xfId="2" applyNumberFormat="1" applyFont="1" applyBorder="1" applyAlignment="1">
      <alignment vertical="center"/>
    </xf>
    <xf numFmtId="9" fontId="0" fillId="12" borderId="0" xfId="2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4" fontId="5" fillId="9" borderId="58" xfId="0" applyNumberFormat="1" applyFont="1" applyFill="1" applyBorder="1" applyAlignment="1">
      <alignment horizontal="right" vertical="center"/>
    </xf>
    <xf numFmtId="0" fontId="3" fillId="17" borderId="0" xfId="0" applyFont="1" applyFill="1" applyBorder="1" applyAlignment="1">
      <alignment horizontal="center" wrapText="1"/>
    </xf>
    <xf numFmtId="0" fontId="3" fillId="17" borderId="54" xfId="0" applyFont="1" applyFill="1" applyBorder="1" applyAlignment="1">
      <alignment horizontal="center" wrapText="1"/>
    </xf>
    <xf numFmtId="0" fontId="3" fillId="17" borderId="5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1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14" fillId="18" borderId="32" xfId="0" applyNumberFormat="1" applyFont="1" applyFill="1" applyBorder="1"/>
    <xf numFmtId="4" fontId="14" fillId="0" borderId="57" xfId="0" applyNumberFormat="1" applyFont="1" applyFill="1" applyBorder="1" applyAlignment="1">
      <alignment wrapText="1"/>
    </xf>
    <xf numFmtId="4" fontId="14" fillId="0" borderId="32" xfId="0" applyNumberFormat="1" applyFont="1" applyFill="1" applyBorder="1" applyAlignment="1">
      <alignment wrapText="1"/>
    </xf>
    <xf numFmtId="3" fontId="14" fillId="0" borderId="32" xfId="0" applyNumberFormat="1" applyFont="1" applyFill="1" applyBorder="1" applyAlignment="1"/>
    <xf numFmtId="4" fontId="8" fillId="44" borderId="32" xfId="0" applyNumberFormat="1" applyFont="1" applyFill="1" applyBorder="1" applyAlignment="1"/>
    <xf numFmtId="3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right" vertical="center"/>
    </xf>
    <xf numFmtId="3" fontId="14" fillId="0" borderId="57" xfId="0" applyNumberFormat="1" applyFont="1" applyFill="1" applyBorder="1" applyAlignment="1"/>
    <xf numFmtId="4" fontId="8" fillId="44" borderId="57" xfId="0" applyNumberFormat="1" applyFont="1" applyFill="1" applyBorder="1" applyAlignment="1"/>
    <xf numFmtId="0" fontId="14" fillId="0" borderId="77" xfId="0" applyFont="1" applyFill="1" applyBorder="1" applyAlignment="1">
      <alignment wrapText="1"/>
    </xf>
    <xf numFmtId="4" fontId="14" fillId="0" borderId="63" xfId="0" applyNumberFormat="1" applyFont="1" applyFill="1" applyBorder="1" applyAlignment="1">
      <alignment wrapText="1"/>
    </xf>
    <xf numFmtId="3" fontId="14" fillId="0" borderId="63" xfId="0" applyNumberFormat="1" applyFont="1" applyFill="1" applyBorder="1" applyAlignment="1"/>
    <xf numFmtId="4" fontId="8" fillId="44" borderId="63" xfId="0" applyNumberFormat="1" applyFont="1" applyFill="1" applyBorder="1" applyAlignment="1"/>
    <xf numFmtId="3" fontId="0" fillId="0" borderId="57" xfId="0" applyNumberFormat="1" applyBorder="1" applyAlignment="1">
      <alignment horizontal="left" vertical="center"/>
    </xf>
    <xf numFmtId="4" fontId="0" fillId="0" borderId="57" xfId="0" applyNumberFormat="1" applyBorder="1" applyAlignment="1">
      <alignment horizontal="right" vertical="center"/>
    </xf>
    <xf numFmtId="4" fontId="5" fillId="9" borderId="60" xfId="0" applyNumberFormat="1" applyFont="1" applyFill="1" applyBorder="1" applyAlignment="1">
      <alignment horizontal="right" vertical="center"/>
    </xf>
    <xf numFmtId="3" fontId="0" fillId="0" borderId="63" xfId="0" applyNumberFormat="1" applyBorder="1" applyAlignment="1">
      <alignment horizontal="left" vertical="center"/>
    </xf>
    <xf numFmtId="4" fontId="0" fillId="0" borderId="63" xfId="0" applyNumberFormat="1" applyBorder="1" applyAlignment="1">
      <alignment horizontal="right" vertical="center"/>
    </xf>
    <xf numFmtId="4" fontId="5" fillId="9" borderId="6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5" fillId="45" borderId="32" xfId="0" applyNumberFormat="1" applyFont="1" applyFill="1" applyBorder="1" applyAlignment="1">
      <alignment vertical="center"/>
    </xf>
    <xf numFmtId="2" fontId="5" fillId="10" borderId="32" xfId="0" applyNumberFormat="1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2" fontId="0" fillId="0" borderId="57" xfId="0" applyNumberFormat="1" applyBorder="1" applyAlignment="1">
      <alignment vertical="center"/>
    </xf>
    <xf numFmtId="2" fontId="5" fillId="45" borderId="57" xfId="0" applyNumberFormat="1" applyFont="1" applyFill="1" applyBorder="1" applyAlignment="1">
      <alignment vertical="center"/>
    </xf>
    <xf numFmtId="2" fontId="5" fillId="10" borderId="57" xfId="0" applyNumberFormat="1" applyFont="1" applyFill="1" applyBorder="1" applyAlignment="1">
      <alignment vertical="center"/>
    </xf>
    <xf numFmtId="2" fontId="5" fillId="45" borderId="63" xfId="0" applyNumberFormat="1" applyFont="1" applyFill="1" applyBorder="1" applyAlignment="1">
      <alignment vertical="center"/>
    </xf>
    <xf numFmtId="2" fontId="5" fillId="10" borderId="63" xfId="0" applyNumberFormat="1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2" xfId="0" applyFill="1" applyBorder="1" applyAlignment="1">
      <alignment vertical="center"/>
    </xf>
    <xf numFmtId="2" fontId="0" fillId="0" borderId="63" xfId="0" applyNumberFormat="1" applyFill="1" applyBorder="1" applyAlignment="1">
      <alignment vertical="center"/>
    </xf>
    <xf numFmtId="4" fontId="0" fillId="0" borderId="32" xfId="0" applyNumberFormat="1" applyBorder="1" applyAlignment="1"/>
    <xf numFmtId="4" fontId="5" fillId="45" borderId="32" xfId="0" applyNumberFormat="1" applyFont="1" applyFill="1" applyBorder="1" applyAlignment="1">
      <alignment horizontal="right" vertical="center"/>
    </xf>
    <xf numFmtId="4" fontId="5" fillId="10" borderId="32" xfId="0" applyNumberFormat="1" applyFont="1" applyFill="1" applyBorder="1" applyAlignment="1">
      <alignment horizontal="right" vertical="center"/>
    </xf>
    <xf numFmtId="4" fontId="5" fillId="10" borderId="32" xfId="0" applyNumberFormat="1" applyFont="1" applyFill="1" applyBorder="1" applyAlignment="1">
      <alignment vertical="center"/>
    </xf>
    <xf numFmtId="3" fontId="0" fillId="0" borderId="70" xfId="0" applyNumberFormat="1" applyBorder="1" applyAlignment="1">
      <alignment horizontal="left"/>
    </xf>
    <xf numFmtId="4" fontId="0" fillId="0" borderId="57" xfId="0" applyNumberFormat="1" applyBorder="1" applyAlignment="1"/>
    <xf numFmtId="4" fontId="5" fillId="45" borderId="57" xfId="0" applyNumberFormat="1" applyFont="1" applyFill="1" applyBorder="1" applyAlignment="1">
      <alignment horizontal="right" vertical="center"/>
    </xf>
    <xf numFmtId="4" fontId="5" fillId="10" borderId="57" xfId="0" applyNumberFormat="1" applyFont="1" applyFill="1" applyBorder="1" applyAlignment="1">
      <alignment horizontal="right" vertical="center"/>
    </xf>
    <xf numFmtId="3" fontId="0" fillId="0" borderId="77" xfId="0" applyNumberFormat="1" applyBorder="1" applyAlignment="1">
      <alignment horizontal="left"/>
    </xf>
    <xf numFmtId="4" fontId="0" fillId="0" borderId="63" xfId="0" applyNumberFormat="1" applyBorder="1" applyAlignment="1"/>
    <xf numFmtId="4" fontId="5" fillId="45" borderId="63" xfId="0" applyNumberFormat="1" applyFont="1" applyFill="1" applyBorder="1" applyAlignment="1">
      <alignment horizontal="right" vertical="center"/>
    </xf>
    <xf numFmtId="0" fontId="3" fillId="17" borderId="83" xfId="0" applyFont="1" applyFill="1" applyBorder="1" applyAlignment="1">
      <alignment horizontal="left" wrapText="1"/>
    </xf>
    <xf numFmtId="0" fontId="3" fillId="17" borderId="84" xfId="0" applyFont="1" applyFill="1" applyBorder="1" applyAlignment="1">
      <alignment horizontal="left" wrapText="1"/>
    </xf>
    <xf numFmtId="2" fontId="14" fillId="18" borderId="57" xfId="0" applyNumberFormat="1" applyFont="1" applyFill="1" applyBorder="1"/>
    <xf numFmtId="2" fontId="14" fillId="18" borderId="63" xfId="0" applyNumberFormat="1" applyFont="1" applyFill="1" applyBorder="1"/>
    <xf numFmtId="4" fontId="0" fillId="0" borderId="70" xfId="0" applyNumberFormat="1" applyFont="1" applyBorder="1"/>
    <xf numFmtId="4" fontId="0" fillId="0" borderId="58" xfId="0" applyNumberFormat="1" applyFont="1" applyBorder="1"/>
    <xf numFmtId="4" fontId="0" fillId="0" borderId="77" xfId="0" applyNumberFormat="1" applyFont="1" applyBorder="1"/>
    <xf numFmtId="4" fontId="0" fillId="0" borderId="60" xfId="0" applyNumberFormat="1" applyFont="1" applyBorder="1"/>
    <xf numFmtId="4" fontId="0" fillId="0" borderId="72" xfId="0" applyNumberFormat="1" applyFont="1" applyBorder="1"/>
    <xf numFmtId="4" fontId="0" fillId="0" borderId="64" xfId="0" applyNumberFormat="1" applyFont="1" applyBorder="1"/>
    <xf numFmtId="4" fontId="0" fillId="0" borderId="72" xfId="0" applyNumberFormat="1" applyBorder="1"/>
    <xf numFmtId="4" fontId="0" fillId="0" borderId="64" xfId="0" applyNumberFormat="1" applyBorder="1"/>
    <xf numFmtId="3" fontId="0" fillId="0" borderId="56" xfId="0" applyNumberFormat="1" applyFill="1" applyBorder="1"/>
    <xf numFmtId="3" fontId="0" fillId="0" borderId="59" xfId="0" applyNumberFormat="1" applyFill="1" applyBorder="1"/>
    <xf numFmtId="3" fontId="0" fillId="0" borderId="62" xfId="0" applyNumberFormat="1" applyFill="1" applyBorder="1"/>
    <xf numFmtId="3" fontId="0" fillId="0" borderId="68" xfId="0" applyNumberFormat="1" applyFont="1" applyFill="1" applyBorder="1"/>
    <xf numFmtId="3" fontId="0" fillId="0" borderId="67" xfId="0" applyNumberFormat="1" applyFont="1" applyFill="1" applyBorder="1"/>
    <xf numFmtId="186" fontId="0" fillId="0" borderId="0" xfId="1" applyNumberFormat="1" applyFont="1" applyFill="1"/>
    <xf numFmtId="15" fontId="7" fillId="0" borderId="0" xfId="4" applyNumberFormat="1" applyFont="1" applyFill="1" applyBorder="1" applyAlignment="1">
      <alignment horizontal="left"/>
    </xf>
    <xf numFmtId="9" fontId="63" fillId="0" borderId="0" xfId="2" applyFont="1" applyFill="1" applyBorder="1" applyAlignment="1">
      <alignment horizontal="center"/>
    </xf>
    <xf numFmtId="4" fontId="5" fillId="10" borderId="63" xfId="0" applyNumberFormat="1" applyFont="1" applyFill="1" applyBorder="1" applyAlignment="1">
      <alignment vertical="center"/>
    </xf>
    <xf numFmtId="2" fontId="8" fillId="0" borderId="16" xfId="3" applyNumberFormat="1" applyFont="1" applyFill="1" applyBorder="1" applyAlignment="1">
      <alignment horizontal="center"/>
    </xf>
    <xf numFmtId="2" fontId="8" fillId="0" borderId="19" xfId="3" applyNumberFormat="1" applyFont="1" applyFill="1" applyBorder="1" applyAlignment="1">
      <alignment horizontal="center"/>
    </xf>
    <xf numFmtId="9" fontId="8" fillId="0" borderId="13" xfId="2" applyFont="1" applyFill="1" applyBorder="1" applyAlignment="1">
      <alignment horizontal="center"/>
    </xf>
    <xf numFmtId="9" fontId="8" fillId="0" borderId="17" xfId="2" applyFont="1" applyFill="1" applyBorder="1" applyAlignment="1">
      <alignment horizontal="center"/>
    </xf>
    <xf numFmtId="169" fontId="0" fillId="0" borderId="0" xfId="9" applyNumberFormat="1" applyFont="1" applyFill="1"/>
    <xf numFmtId="0" fontId="8" fillId="0" borderId="32" xfId="0" applyFont="1" applyFill="1" applyBorder="1" applyAlignment="1">
      <alignment wrapText="1"/>
    </xf>
    <xf numFmtId="43" fontId="0" fillId="0" borderId="32" xfId="1" applyFont="1" applyBorder="1"/>
    <xf numFmtId="0" fontId="8" fillId="0" borderId="88" xfId="0" applyFont="1" applyFill="1" applyBorder="1" applyAlignment="1">
      <alignment wrapText="1"/>
    </xf>
    <xf numFmtId="0" fontId="0" fillId="0" borderId="89" xfId="0" applyBorder="1"/>
    <xf numFmtId="0" fontId="0" fillId="0" borderId="9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73" fontId="0" fillId="0" borderId="0" xfId="9" applyNumberFormat="1" applyFont="1" applyFill="1"/>
    <xf numFmtId="171" fontId="14" fillId="12" borderId="0" xfId="2" applyNumberFormat="1" applyFont="1" applyFill="1"/>
    <xf numFmtId="0" fontId="3" fillId="18" borderId="0" xfId="0" applyFont="1" applyFill="1"/>
    <xf numFmtId="15" fontId="13" fillId="18" borderId="32" xfId="4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2" fontId="19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2" fontId="14" fillId="0" borderId="0" xfId="3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4" applyBorder="1"/>
    <xf numFmtId="0" fontId="12" fillId="0" borderId="0" xfId="4" applyFont="1" applyBorder="1" applyAlignment="1">
      <alignment horizontal="center"/>
    </xf>
    <xf numFmtId="0" fontId="1" fillId="0" borderId="10" xfId="4" applyBorder="1"/>
    <xf numFmtId="0" fontId="12" fillId="0" borderId="0" xfId="0" applyFont="1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12" xfId="4" applyBorder="1"/>
    <xf numFmtId="9" fontId="14" fillId="0" borderId="85" xfId="2" applyFont="1" applyFill="1" applyBorder="1" applyAlignment="1">
      <alignment horizontal="center"/>
    </xf>
    <xf numFmtId="9" fontId="14" fillId="0" borderId="86" xfId="2" applyFont="1" applyFill="1" applyBorder="1" applyAlignment="1">
      <alignment horizontal="center"/>
    </xf>
    <xf numFmtId="2" fontId="8" fillId="0" borderId="14" xfId="3" applyNumberFormat="1" applyFont="1" applyFill="1" applyBorder="1" applyAlignment="1">
      <alignment horizontal="center"/>
    </xf>
    <xf numFmtId="2" fontId="8" fillId="0" borderId="87" xfId="3" applyNumberFormat="1" applyFont="1" applyFill="1" applyBorder="1" applyAlignment="1">
      <alignment horizontal="center"/>
    </xf>
    <xf numFmtId="9" fontId="8" fillId="0" borderId="91" xfId="2" applyFont="1" applyFill="1" applyBorder="1" applyAlignment="1">
      <alignment horizontal="center"/>
    </xf>
    <xf numFmtId="0" fontId="10" fillId="0" borderId="9" xfId="4" applyFont="1" applyBorder="1"/>
    <xf numFmtId="0" fontId="12" fillId="0" borderId="12" xfId="4" applyFont="1" applyBorder="1" applyAlignment="1">
      <alignment horizontal="center"/>
    </xf>
    <xf numFmtId="2" fontId="8" fillId="0" borderId="85" xfId="3" applyNumberFormat="1" applyFont="1" applyFill="1" applyBorder="1" applyAlignment="1">
      <alignment horizontal="center"/>
    </xf>
    <xf numFmtId="2" fontId="8" fillId="0" borderId="86" xfId="3" applyNumberFormat="1" applyFont="1" applyFill="1" applyBorder="1" applyAlignment="1">
      <alignment horizontal="center"/>
    </xf>
    <xf numFmtId="2" fontId="14" fillId="0" borderId="15" xfId="3" applyNumberFormat="1" applyFont="1" applyFill="1" applyBorder="1" applyAlignment="1">
      <alignment horizontal="center"/>
    </xf>
    <xf numFmtId="2" fontId="14" fillId="0" borderId="18" xfId="3" applyNumberFormat="1" applyFont="1" applyFill="1" applyBorder="1" applyAlignment="1">
      <alignment horizontal="center"/>
    </xf>
    <xf numFmtId="2" fontId="14" fillId="0" borderId="16" xfId="3" applyNumberFormat="1" applyFont="1" applyFill="1" applyBorder="1" applyAlignment="1">
      <alignment horizontal="center"/>
    </xf>
    <xf numFmtId="2" fontId="14" fillId="0" borderId="19" xfId="3" applyNumberFormat="1" applyFont="1" applyFill="1" applyBorder="1" applyAlignment="1">
      <alignment horizontal="center"/>
    </xf>
    <xf numFmtId="3" fontId="14" fillId="0" borderId="13" xfId="3" applyNumberFormat="1" applyFont="1" applyFill="1" applyBorder="1" applyAlignment="1">
      <alignment horizontal="center"/>
    </xf>
    <xf numFmtId="3" fontId="14" fillId="0" borderId="17" xfId="3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 wrapText="1"/>
    </xf>
    <xf numFmtId="3" fontId="5" fillId="0" borderId="0" xfId="0" applyNumberFormat="1" applyFont="1" applyFill="1"/>
    <xf numFmtId="0" fontId="64" fillId="0" borderId="0" xfId="0" applyFont="1" applyFill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/>
    <xf numFmtId="0" fontId="14" fillId="0" borderId="0" xfId="0" applyFont="1" applyFill="1"/>
    <xf numFmtId="171" fontId="14" fillId="0" borderId="0" xfId="2" applyNumberFormat="1" applyFont="1" applyFill="1"/>
    <xf numFmtId="0" fontId="8" fillId="0" borderId="0" xfId="0" applyFont="1" applyFill="1" applyAlignment="1">
      <alignment horizontal="right"/>
    </xf>
    <xf numFmtId="3" fontId="8" fillId="0" borderId="22" xfId="0" applyNumberFormat="1" applyFont="1" applyFill="1" applyBorder="1"/>
    <xf numFmtId="168" fontId="8" fillId="0" borderId="22" xfId="0" applyNumberFormat="1" applyFont="1" applyFill="1" applyBorder="1"/>
    <xf numFmtId="0" fontId="8" fillId="0" borderId="0" xfId="0" applyFont="1" applyFill="1"/>
    <xf numFmtId="3" fontId="18" fillId="0" borderId="0" xfId="0" applyNumberFormat="1" applyFont="1" applyFill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170" fontId="0" fillId="0" borderId="0" xfId="0" applyNumberFormat="1" applyFill="1" applyAlignment="1">
      <alignment horizontal="right"/>
    </xf>
    <xf numFmtId="3" fontId="14" fillId="0" borderId="32" xfId="7" applyNumberFormat="1" applyFont="1" applyFill="1" applyBorder="1" applyAlignment="1">
      <alignment horizontal="right"/>
    </xf>
    <xf numFmtId="3" fontId="8" fillId="0" borderId="32" xfId="7" applyNumberFormat="1" applyFont="1" applyFill="1" applyBorder="1" applyAlignment="1">
      <alignment horizontal="right"/>
    </xf>
    <xf numFmtId="9" fontId="5" fillId="0" borderId="32" xfId="2" applyFont="1" applyFill="1" applyBorder="1" applyAlignment="1">
      <alignment horizontal="right"/>
    </xf>
    <xf numFmtId="9" fontId="5" fillId="0" borderId="0" xfId="2" applyFont="1" applyFill="1" applyBorder="1" applyAlignment="1">
      <alignment horizontal="right"/>
    </xf>
    <xf numFmtId="2" fontId="8" fillId="0" borderId="92" xfId="3" applyNumberFormat="1" applyFont="1" applyFill="1" applyBorder="1" applyAlignment="1">
      <alignment horizontal="center"/>
    </xf>
    <xf numFmtId="2" fontId="8" fillId="0" borderId="93" xfId="3" applyNumberFormat="1" applyFont="1" applyFill="1" applyBorder="1" applyAlignment="1">
      <alignment horizontal="center"/>
    </xf>
    <xf numFmtId="2" fontId="8" fillId="0" borderId="94" xfId="3" applyNumberFormat="1" applyFont="1" applyFill="1" applyBorder="1" applyAlignment="1">
      <alignment horizontal="center"/>
    </xf>
    <xf numFmtId="0" fontId="0" fillId="46" borderId="0" xfId="0" applyFill="1"/>
    <xf numFmtId="0" fontId="8" fillId="0" borderId="95" xfId="0" applyFont="1" applyFill="1" applyBorder="1" applyAlignment="1">
      <alignment horizontal="center" wrapText="1"/>
    </xf>
    <xf numFmtId="0" fontId="8" fillId="0" borderId="96" xfId="0" applyFont="1" applyFill="1" applyBorder="1" applyAlignment="1">
      <alignment horizontal="center" wrapText="1"/>
    </xf>
    <xf numFmtId="170" fontId="0" fillId="0" borderId="10" xfId="0" applyNumberFormat="1" applyFill="1" applyBorder="1"/>
    <xf numFmtId="170" fontId="0" fillId="0" borderId="12" xfId="0" applyNumberFormat="1" applyFill="1" applyBorder="1"/>
    <xf numFmtId="3" fontId="5" fillId="0" borderId="10" xfId="0" applyNumberFormat="1" applyFont="1" applyFill="1" applyBorder="1"/>
    <xf numFmtId="3" fontId="5" fillId="0" borderId="12" xfId="0" applyNumberFormat="1" applyFont="1" applyFill="1" applyBorder="1"/>
    <xf numFmtId="0" fontId="0" fillId="0" borderId="6" xfId="0" applyFill="1" applyBorder="1"/>
    <xf numFmtId="3" fontId="0" fillId="0" borderId="23" xfId="0" applyNumberFormat="1" applyFill="1" applyBorder="1"/>
    <xf numFmtId="0" fontId="0" fillId="47" borderId="0" xfId="0" applyFill="1"/>
    <xf numFmtId="0" fontId="0" fillId="48" borderId="0" xfId="0" applyFill="1"/>
    <xf numFmtId="184" fontId="0" fillId="0" borderId="10" xfId="0" applyNumberFormat="1" applyFill="1" applyBorder="1" applyAlignment="1">
      <alignment horizontal="center"/>
    </xf>
    <xf numFmtId="170" fontId="0" fillId="0" borderId="12" xfId="0" applyNumberFormat="1" applyFill="1" applyBorder="1" applyAlignment="1">
      <alignment horizontal="center"/>
    </xf>
    <xf numFmtId="184" fontId="0" fillId="0" borderId="12" xfId="0" applyNumberForma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170" fontId="0" fillId="0" borderId="0" xfId="0" applyNumberFormat="1" applyFill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/>
    <xf numFmtId="0" fontId="6" fillId="48" borderId="0" xfId="0" applyFont="1" applyFill="1"/>
    <xf numFmtId="0" fontId="6" fillId="47" borderId="0" xfId="0" applyFont="1" applyFill="1"/>
    <xf numFmtId="2" fontId="0" fillId="0" borderId="10" xfId="0" applyNumberFormat="1" applyFill="1" applyBorder="1"/>
    <xf numFmtId="2" fontId="0" fillId="0" borderId="12" xfId="0" applyNumberFormat="1" applyFill="1" applyBorder="1"/>
    <xf numFmtId="3" fontId="5" fillId="0" borderId="10" xfId="0" applyNumberFormat="1" applyFont="1" applyBorder="1"/>
    <xf numFmtId="3" fontId="5" fillId="0" borderId="12" xfId="0" applyNumberFormat="1" applyFont="1" applyBorder="1"/>
    <xf numFmtId="1" fontId="0" fillId="0" borderId="6" xfId="0" applyNumberFormat="1" applyFill="1" applyBorder="1"/>
    <xf numFmtId="187" fontId="5" fillId="0" borderId="22" xfId="2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170" fontId="8" fillId="12" borderId="32" xfId="2" applyNumberFormat="1" applyFont="1" applyFill="1" applyBorder="1" applyAlignment="1">
      <alignment horizontal="center"/>
    </xf>
    <xf numFmtId="4" fontId="14" fillId="0" borderId="13" xfId="3" applyNumberFormat="1" applyFont="1" applyFill="1" applyBorder="1" applyAlignment="1">
      <alignment horizontal="center"/>
    </xf>
    <xf numFmtId="4" fontId="14" fillId="0" borderId="17" xfId="3" applyNumberFormat="1" applyFont="1" applyFill="1" applyBorder="1" applyAlignment="1">
      <alignment horizontal="center"/>
    </xf>
    <xf numFmtId="0" fontId="66" fillId="0" borderId="0" xfId="0" applyFont="1" applyBorder="1" applyAlignment="1">
      <alignment vertical="center"/>
    </xf>
    <xf numFmtId="3" fontId="67" fillId="0" borderId="0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3" fontId="67" fillId="0" borderId="0" xfId="0" applyNumberFormat="1" applyFont="1" applyBorder="1" applyAlignment="1">
      <alignment vertical="center"/>
    </xf>
    <xf numFmtId="3" fontId="14" fillId="0" borderId="0" xfId="0" applyNumberFormat="1" applyFont="1" applyFill="1" applyBorder="1"/>
    <xf numFmtId="171" fontId="19" fillId="0" borderId="0" xfId="2" applyNumberFormat="1" applyFont="1" applyFill="1"/>
    <xf numFmtId="3" fontId="67" fillId="0" borderId="0" xfId="0" applyNumberFormat="1" applyFont="1" applyFill="1" applyBorder="1" applyAlignment="1">
      <alignment horizontal="right" vertical="center"/>
    </xf>
    <xf numFmtId="0" fontId="3" fillId="17" borderId="0" xfId="0" applyFont="1" applyFill="1" applyAlignment="1">
      <alignment wrapText="1"/>
    </xf>
    <xf numFmtId="0" fontId="3" fillId="17" borderId="0" xfId="0" applyFont="1" applyFill="1" applyAlignment="1">
      <alignment horizontal="center" wrapText="1"/>
    </xf>
    <xf numFmtId="182" fontId="3" fillId="17" borderId="0" xfId="0" applyNumberFormat="1" applyFont="1" applyFill="1" applyAlignment="1">
      <alignment horizontal="center" wrapText="1"/>
    </xf>
    <xf numFmtId="170" fontId="0" fillId="50" borderId="0" xfId="0" applyNumberFormat="1" applyFill="1"/>
    <xf numFmtId="0" fontId="0" fillId="0" borderId="0" xfId="0" applyBorder="1"/>
    <xf numFmtId="3" fontId="25" fillId="12" borderId="0" xfId="0" applyNumberFormat="1" applyFont="1" applyFill="1"/>
    <xf numFmtId="174" fontId="5" fillId="9" borderId="32" xfId="10" applyNumberFormat="1" applyFont="1" applyFill="1" applyBorder="1" applyAlignment="1"/>
    <xf numFmtId="174" fontId="8" fillId="9" borderId="32" xfId="10" applyNumberFormat="1" applyFont="1" applyFill="1" applyBorder="1" applyAlignment="1">
      <alignment horizontal="right"/>
    </xf>
    <xf numFmtId="0" fontId="69" fillId="12" borderId="2" xfId="0" applyFont="1" applyFill="1" applyBorder="1" applyAlignment="1">
      <alignment horizontal="left" vertical="center" wrapText="1"/>
    </xf>
    <xf numFmtId="0" fontId="69" fillId="12" borderId="21" xfId="0" applyFont="1" applyFill="1" applyBorder="1" applyAlignment="1">
      <alignment horizontal="center" vertical="center" wrapText="1"/>
    </xf>
    <xf numFmtId="0" fontId="69" fillId="12" borderId="31" xfId="0" applyFont="1" applyFill="1" applyBorder="1" applyAlignment="1">
      <alignment horizontal="center" vertical="center" wrapText="1"/>
    </xf>
    <xf numFmtId="0" fontId="70" fillId="12" borderId="10" xfId="0" applyFont="1" applyFill="1" applyBorder="1" applyAlignment="1">
      <alignment horizontal="justify" vertical="center"/>
    </xf>
    <xf numFmtId="3" fontId="70" fillId="12" borderId="0" xfId="0" applyNumberFormat="1" applyFont="1" applyFill="1" applyAlignment="1">
      <alignment horizontal="right" vertical="center"/>
    </xf>
    <xf numFmtId="0" fontId="70" fillId="12" borderId="0" xfId="0" applyFont="1" applyFill="1" applyAlignment="1">
      <alignment horizontal="right" vertical="center"/>
    </xf>
    <xf numFmtId="0" fontId="70" fillId="12" borderId="12" xfId="0" applyFont="1" applyFill="1" applyBorder="1" applyAlignment="1">
      <alignment horizontal="right" vertical="center"/>
    </xf>
    <xf numFmtId="0" fontId="70" fillId="12" borderId="6" xfId="0" applyFont="1" applyFill="1" applyBorder="1" applyAlignment="1">
      <alignment horizontal="justify" vertical="center"/>
    </xf>
    <xf numFmtId="3" fontId="70" fillId="12" borderId="7" xfId="0" applyNumberFormat="1" applyFont="1" applyFill="1" applyBorder="1" applyAlignment="1">
      <alignment horizontal="right" vertical="center"/>
    </xf>
    <xf numFmtId="0" fontId="70" fillId="12" borderId="7" xfId="0" applyFont="1" applyFill="1" applyBorder="1" applyAlignment="1">
      <alignment horizontal="right" vertical="center"/>
    </xf>
    <xf numFmtId="0" fontId="70" fillId="12" borderId="23" xfId="0" applyFont="1" applyFill="1" applyBorder="1" applyAlignment="1">
      <alignment horizontal="right" vertical="center"/>
    </xf>
    <xf numFmtId="0" fontId="71" fillId="12" borderId="2" xfId="0" applyFont="1" applyFill="1" applyBorder="1" applyAlignment="1">
      <alignment horizontal="left" vertical="center" wrapText="1"/>
    </xf>
    <xf numFmtId="0" fontId="71" fillId="12" borderId="21" xfId="0" applyFont="1" applyFill="1" applyBorder="1" applyAlignment="1">
      <alignment horizontal="center" vertical="center" wrapText="1"/>
    </xf>
    <xf numFmtId="0" fontId="71" fillId="12" borderId="31" xfId="0" applyFont="1" applyFill="1" applyBorder="1" applyAlignment="1">
      <alignment horizontal="center" vertical="center" wrapText="1"/>
    </xf>
    <xf numFmtId="0" fontId="72" fillId="12" borderId="10" xfId="0" applyFont="1" applyFill="1" applyBorder="1" applyAlignment="1">
      <alignment horizontal="left" vertical="center"/>
    </xf>
    <xf numFmtId="0" fontId="72" fillId="12" borderId="0" xfId="0" applyFont="1" applyFill="1" applyAlignment="1">
      <alignment horizontal="right" vertical="center"/>
    </xf>
    <xf numFmtId="3" fontId="72" fillId="12" borderId="0" xfId="0" applyNumberFormat="1" applyFont="1" applyFill="1" applyAlignment="1">
      <alignment horizontal="right" vertical="center"/>
    </xf>
    <xf numFmtId="0" fontId="72" fillId="12" borderId="12" xfId="0" applyFont="1" applyFill="1" applyBorder="1" applyAlignment="1">
      <alignment horizontal="right" vertical="center"/>
    </xf>
    <xf numFmtId="3" fontId="0" fillId="12" borderId="0" xfId="0" applyNumberFormat="1" applyFill="1" applyBorder="1"/>
    <xf numFmtId="0" fontId="72" fillId="12" borderId="6" xfId="0" applyFont="1" applyFill="1" applyBorder="1" applyAlignment="1">
      <alignment horizontal="left" vertical="center"/>
    </xf>
    <xf numFmtId="0" fontId="72" fillId="12" borderId="7" xfId="0" applyFont="1" applyFill="1" applyBorder="1" applyAlignment="1">
      <alignment horizontal="right" vertical="center"/>
    </xf>
    <xf numFmtId="3" fontId="72" fillId="12" borderId="7" xfId="0" applyNumberFormat="1" applyFont="1" applyFill="1" applyBorder="1" applyAlignment="1">
      <alignment horizontal="right" vertical="center"/>
    </xf>
    <xf numFmtId="0" fontId="72" fillId="12" borderId="23" xfId="0" applyFont="1" applyFill="1" applyBorder="1" applyAlignment="1">
      <alignment horizontal="right" vertical="center"/>
    </xf>
    <xf numFmtId="182" fontId="5" fillId="9" borderId="31" xfId="0" applyNumberFormat="1" applyFont="1" applyFill="1" applyBorder="1"/>
    <xf numFmtId="0" fontId="67" fillId="0" borderId="0" xfId="0" applyFont="1" applyFill="1" applyBorder="1" applyAlignment="1">
      <alignment horizontal="right" vertical="center"/>
    </xf>
    <xf numFmtId="3" fontId="67" fillId="0" borderId="0" xfId="0" applyNumberFormat="1" applyFont="1" applyFill="1" applyBorder="1" applyAlignment="1">
      <alignment vertical="center"/>
    </xf>
    <xf numFmtId="15" fontId="7" fillId="4" borderId="32" xfId="4" applyNumberFormat="1" applyFont="1" applyFill="1" applyBorder="1" applyAlignment="1">
      <alignment horizontal="left"/>
    </xf>
    <xf numFmtId="3" fontId="8" fillId="51" borderId="32" xfId="3" applyNumberFormat="1" applyFont="1" applyFill="1" applyBorder="1" applyAlignment="1" applyProtection="1">
      <alignment horizontal="right"/>
      <protection locked="0"/>
    </xf>
    <xf numFmtId="3" fontId="14" fillId="51" borderId="0" xfId="0" applyNumberFormat="1" applyFont="1" applyFill="1" applyAlignment="1" applyProtection="1">
      <alignment horizontal="right"/>
      <protection locked="0"/>
    </xf>
    <xf numFmtId="0" fontId="0" fillId="18" borderId="27" xfId="0" applyFill="1" applyBorder="1" applyAlignment="1">
      <alignment horizontal="right"/>
    </xf>
    <xf numFmtId="0" fontId="0" fillId="49" borderId="89" xfId="0" applyFill="1" applyBorder="1"/>
    <xf numFmtId="184" fontId="0" fillId="49" borderId="90" xfId="0" applyNumberFormat="1" applyFill="1" applyBorder="1"/>
    <xf numFmtId="168" fontId="29" fillId="0" borderId="0" xfId="0" applyNumberFormat="1" applyFont="1"/>
    <xf numFmtId="0" fontId="0" fillId="18" borderId="89" xfId="0" applyFill="1" applyBorder="1" applyAlignment="1">
      <alignment horizontal="right"/>
    </xf>
    <xf numFmtId="0" fontId="4" fillId="0" borderId="0" xfId="0" applyFont="1"/>
    <xf numFmtId="176" fontId="0" fillId="52" borderId="90" xfId="0" applyNumberFormat="1" applyFill="1" applyBorder="1" applyAlignment="1">
      <alignment horizontal="center"/>
    </xf>
    <xf numFmtId="176" fontId="0" fillId="52" borderId="28" xfId="0" applyNumberFormat="1" applyFill="1" applyBorder="1" applyAlignment="1">
      <alignment horizontal="center"/>
    </xf>
    <xf numFmtId="0" fontId="0" fillId="18" borderId="29" xfId="0" applyFill="1" applyBorder="1" applyAlignment="1">
      <alignment horizontal="right"/>
    </xf>
    <xf numFmtId="176" fontId="0" fillId="52" borderId="30" xfId="0" applyNumberFormat="1" applyFill="1" applyBorder="1" applyAlignment="1">
      <alignment horizontal="center"/>
    </xf>
    <xf numFmtId="3" fontId="8" fillId="18" borderId="0" xfId="3" applyNumberFormat="1" applyFont="1" applyFill="1" applyBorder="1" applyAlignment="1">
      <alignment horizontal="right"/>
    </xf>
    <xf numFmtId="0" fontId="1" fillId="0" borderId="0" xfId="0" applyFont="1"/>
    <xf numFmtId="0" fontId="1" fillId="9" borderId="0" xfId="0" applyFont="1" applyFill="1"/>
    <xf numFmtId="15" fontId="8" fillId="0" borderId="0" xfId="4" applyNumberFormat="1" applyFont="1" applyAlignment="1">
      <alignment horizontal="left"/>
    </xf>
    <xf numFmtId="15" fontId="73" fillId="0" borderId="0" xfId="4" applyNumberFormat="1" applyFont="1" applyAlignment="1">
      <alignment horizontal="left"/>
    </xf>
    <xf numFmtId="166" fontId="74" fillId="0" borderId="0" xfId="4" applyNumberFormat="1" applyFont="1"/>
    <xf numFmtId="0" fontId="10" fillId="0" borderId="0" xfId="4" applyFont="1"/>
    <xf numFmtId="0" fontId="12" fillId="0" borderId="0" xfId="0" applyFont="1" applyAlignment="1">
      <alignment horizontal="center"/>
    </xf>
    <xf numFmtId="0" fontId="12" fillId="0" borderId="0" xfId="4" applyFont="1" applyAlignment="1">
      <alignment horizontal="center"/>
    </xf>
    <xf numFmtId="15" fontId="3" fillId="4" borderId="4" xfId="4" applyNumberFormat="1" applyFont="1" applyFill="1" applyBorder="1" applyAlignment="1">
      <alignment horizontal="left"/>
    </xf>
    <xf numFmtId="15" fontId="3" fillId="4" borderId="5" xfId="4" applyNumberFormat="1" applyFont="1" applyFill="1" applyBorder="1" applyAlignment="1">
      <alignment horizontal="left"/>
    </xf>
    <xf numFmtId="15" fontId="3" fillId="4" borderId="5" xfId="4" applyNumberFormat="1" applyFont="1" applyFill="1" applyBorder="1" applyAlignment="1">
      <alignment horizontal="center"/>
    </xf>
    <xf numFmtId="15" fontId="7" fillId="4" borderId="5" xfId="4" applyNumberFormat="1" applyFont="1" applyFill="1" applyBorder="1" applyAlignment="1">
      <alignment horizontal="center"/>
    </xf>
    <xf numFmtId="15" fontId="7" fillId="4" borderId="9" xfId="4" applyNumberFormat="1" applyFont="1" applyFill="1" applyBorder="1" applyAlignment="1">
      <alignment horizontal="center"/>
    </xf>
    <xf numFmtId="15" fontId="3" fillId="4" borderId="10" xfId="4" applyNumberFormat="1" applyFont="1" applyFill="1" applyBorder="1" applyAlignment="1">
      <alignment horizontal="left"/>
    </xf>
    <xf numFmtId="15" fontId="3" fillId="4" borderId="0" xfId="4" applyNumberFormat="1" applyFont="1" applyFill="1" applyAlignment="1">
      <alignment horizontal="left"/>
    </xf>
    <xf numFmtId="15" fontId="3" fillId="4" borderId="0" xfId="4" applyNumberFormat="1" applyFont="1" applyFill="1" applyAlignment="1">
      <alignment horizontal="center"/>
    </xf>
    <xf numFmtId="15" fontId="7" fillId="4" borderId="0" xfId="4" applyNumberFormat="1" applyFont="1" applyFill="1" applyAlignment="1">
      <alignment horizontal="center"/>
    </xf>
    <xf numFmtId="15" fontId="7" fillId="4" borderId="12" xfId="4" applyNumberFormat="1" applyFont="1" applyFill="1" applyBorder="1" applyAlignment="1">
      <alignment horizontal="center"/>
    </xf>
    <xf numFmtId="15" fontId="75" fillId="4" borderId="0" xfId="4" applyNumberFormat="1" applyFont="1" applyFill="1" applyAlignment="1">
      <alignment horizontal="center"/>
    </xf>
    <xf numFmtId="15" fontId="23" fillId="4" borderId="0" xfId="4" applyNumberFormat="1" applyFont="1" applyFill="1" applyAlignment="1">
      <alignment horizontal="center"/>
    </xf>
    <xf numFmtId="2" fontId="8" fillId="9" borderId="97" xfId="3" applyNumberFormat="1" applyFont="1" applyFill="1" applyBorder="1" applyAlignment="1">
      <alignment horizontal="center"/>
    </xf>
    <xf numFmtId="2" fontId="8" fillId="0" borderId="98" xfId="3" applyNumberFormat="1" applyFont="1" applyFill="1" applyBorder="1" applyAlignment="1">
      <alignment horizontal="center"/>
    </xf>
    <xf numFmtId="9" fontId="8" fillId="0" borderId="98" xfId="2" applyFont="1" applyFill="1" applyBorder="1" applyAlignment="1">
      <alignment horizontal="center"/>
    </xf>
    <xf numFmtId="2" fontId="8" fillId="9" borderId="99" xfId="3" applyNumberFormat="1" applyFont="1" applyFill="1" applyBorder="1" applyAlignment="1">
      <alignment horizontal="center"/>
    </xf>
    <xf numFmtId="2" fontId="8" fillId="9" borderId="15" xfId="3" applyNumberFormat="1" applyFont="1" applyFill="1" applyBorder="1" applyAlignment="1">
      <alignment horizontal="center"/>
    </xf>
    <xf numFmtId="9" fontId="8" fillId="0" borderId="16" xfId="2" applyFont="1" applyFill="1" applyBorder="1" applyAlignment="1">
      <alignment horizontal="center"/>
    </xf>
    <xf numFmtId="2" fontId="8" fillId="9" borderId="100" xfId="3" applyNumberFormat="1" applyFont="1" applyFill="1" applyBorder="1" applyAlignment="1">
      <alignment horizontal="center"/>
    </xf>
    <xf numFmtId="15" fontId="3" fillId="4" borderId="6" xfId="4" applyNumberFormat="1" applyFont="1" applyFill="1" applyBorder="1" applyAlignment="1">
      <alignment horizontal="left"/>
    </xf>
    <xf numFmtId="15" fontId="3" fillId="4" borderId="7" xfId="4" applyNumberFormat="1" applyFont="1" applyFill="1" applyBorder="1" applyAlignment="1">
      <alignment horizontal="left"/>
    </xf>
    <xf numFmtId="2" fontId="8" fillId="9" borderId="18" xfId="3" applyNumberFormat="1" applyFont="1" applyFill="1" applyBorder="1" applyAlignment="1">
      <alignment horizontal="center"/>
    </xf>
    <xf numFmtId="9" fontId="8" fillId="0" borderId="19" xfId="2" applyFont="1" applyFill="1" applyBorder="1" applyAlignment="1">
      <alignment horizontal="center"/>
    </xf>
    <xf numFmtId="2" fontId="8" fillId="9" borderId="101" xfId="3" applyNumberFormat="1" applyFont="1" applyFill="1" applyBorder="1" applyAlignment="1">
      <alignment horizontal="center"/>
    </xf>
    <xf numFmtId="2" fontId="8" fillId="0" borderId="102" xfId="3" applyNumberFormat="1" applyFont="1" applyFill="1" applyBorder="1" applyAlignment="1">
      <alignment horizontal="center"/>
    </xf>
    <xf numFmtId="9" fontId="8" fillId="0" borderId="102" xfId="2" applyFont="1" applyFill="1" applyBorder="1" applyAlignment="1">
      <alignment horizontal="center"/>
    </xf>
    <xf numFmtId="2" fontId="8" fillId="9" borderId="103" xfId="3" applyNumberFormat="1" applyFont="1" applyFill="1" applyBorder="1" applyAlignment="1">
      <alignment horizontal="center"/>
    </xf>
    <xf numFmtId="2" fontId="8" fillId="9" borderId="85" xfId="3" applyNumberFormat="1" applyFont="1" applyFill="1" applyBorder="1" applyAlignment="1">
      <alignment horizontal="center"/>
    </xf>
    <xf numFmtId="2" fontId="8" fillId="9" borderId="86" xfId="3" applyNumberFormat="1" applyFont="1" applyFill="1" applyBorder="1" applyAlignment="1">
      <alignment horizontal="center"/>
    </xf>
    <xf numFmtId="10" fontId="8" fillId="9" borderId="31" xfId="2" applyNumberFormat="1" applyFont="1" applyFill="1" applyBorder="1" applyAlignment="1" applyProtection="1">
      <alignment horizontal="right"/>
    </xf>
    <xf numFmtId="15" fontId="3" fillId="4" borderId="2" xfId="4" applyNumberFormat="1" applyFont="1" applyFill="1" applyBorder="1" applyAlignment="1">
      <alignment horizontal="left"/>
    </xf>
    <xf numFmtId="15" fontId="3" fillId="4" borderId="21" xfId="4" applyNumberFormat="1" applyFont="1" applyFill="1" applyBorder="1" applyAlignment="1">
      <alignment horizontal="left"/>
    </xf>
    <xf numFmtId="15" fontId="3" fillId="4" borderId="31" xfId="4" applyNumberFormat="1" applyFont="1" applyFill="1" applyBorder="1" applyAlignment="1">
      <alignment horizontal="left"/>
    </xf>
    <xf numFmtId="171" fontId="8" fillId="9" borderId="31" xfId="2" applyNumberFormat="1" applyFont="1" applyFill="1" applyBorder="1" applyAlignment="1" applyProtection="1">
      <alignment horizontal="right"/>
    </xf>
    <xf numFmtId="3" fontId="8" fillId="18" borderId="104" xfId="3" applyNumberFormat="1" applyFont="1" applyFill="1" applyBorder="1" applyAlignment="1" applyProtection="1">
      <alignment horizontal="right"/>
      <protection locked="0"/>
    </xf>
    <xf numFmtId="3" fontId="8" fillId="18" borderId="56" xfId="0" applyNumberFormat="1" applyFont="1" applyFill="1" applyBorder="1" applyAlignment="1" applyProtection="1">
      <alignment horizontal="right"/>
      <protection locked="0"/>
    </xf>
    <xf numFmtId="3" fontId="8" fillId="18" borderId="59" xfId="0" applyNumberFormat="1" applyFont="1" applyFill="1" applyBorder="1" applyAlignment="1" applyProtection="1">
      <alignment horizontal="right"/>
      <protection locked="0"/>
    </xf>
    <xf numFmtId="3" fontId="8" fillId="18" borderId="62" xfId="0" applyNumberFormat="1" applyFont="1" applyFill="1" applyBorder="1" applyAlignment="1" applyProtection="1">
      <alignment horizontal="right"/>
      <protection locked="0"/>
    </xf>
    <xf numFmtId="3" fontId="8" fillId="9" borderId="110" xfId="3" applyNumberFormat="1" applyFont="1" applyFill="1" applyBorder="1" applyAlignment="1" applyProtection="1">
      <alignment horizontal="right"/>
    </xf>
    <xf numFmtId="171" fontId="8" fillId="9" borderId="22" xfId="2" applyNumberFormat="1" applyFont="1" applyFill="1" applyBorder="1" applyAlignment="1" applyProtection="1">
      <alignment horizontal="right"/>
    </xf>
    <xf numFmtId="3" fontId="8" fillId="18" borderId="0" xfId="3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9" borderId="0" xfId="0" applyFill="1" applyProtection="1"/>
    <xf numFmtId="0" fontId="11" fillId="0" borderId="0" xfId="0" applyFont="1" applyProtection="1"/>
    <xf numFmtId="3" fontId="8" fillId="0" borderId="0" xfId="3" applyNumberFormat="1" applyFont="1" applyFill="1" applyBorder="1" applyAlignment="1" applyProtection="1">
      <alignment horizontal="right"/>
    </xf>
    <xf numFmtId="3" fontId="8" fillId="0" borderId="96" xfId="3" applyNumberFormat="1" applyFont="1" applyFill="1" applyBorder="1" applyAlignment="1" applyProtection="1">
      <alignment horizontal="right"/>
    </xf>
    <xf numFmtId="3" fontId="8" fillId="0" borderId="104" xfId="3" applyNumberFormat="1" applyFont="1" applyFill="1" applyBorder="1" applyAlignment="1" applyProtection="1">
      <alignment horizontal="right"/>
    </xf>
    <xf numFmtId="0" fontId="20" fillId="0" borderId="0" xfId="0" applyFont="1" applyProtection="1"/>
    <xf numFmtId="3" fontId="20" fillId="0" borderId="0" xfId="0" applyNumberFormat="1" applyFont="1" applyProtection="1"/>
    <xf numFmtId="3" fontId="8" fillId="18" borderId="107" xfId="3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wrapText="1"/>
    </xf>
    <xf numFmtId="0" fontId="0" fillId="0" borderId="70" xfId="0" applyBorder="1" applyAlignment="1" applyProtection="1">
      <alignment horizontal="center"/>
    </xf>
    <xf numFmtId="0" fontId="0" fillId="0" borderId="57" xfId="0" applyBorder="1" applyProtection="1"/>
    <xf numFmtId="0" fontId="0" fillId="0" borderId="108" xfId="0" applyBorder="1" applyProtection="1"/>
    <xf numFmtId="3" fontId="0" fillId="0" borderId="0" xfId="0" applyNumberFormat="1" applyProtection="1"/>
    <xf numFmtId="0" fontId="0" fillId="0" borderId="77" xfId="0" applyBorder="1" applyAlignment="1" applyProtection="1">
      <alignment horizontal="center"/>
    </xf>
    <xf numFmtId="0" fontId="0" fillId="0" borderId="32" xfId="0" applyBorder="1" applyProtection="1"/>
    <xf numFmtId="0" fontId="0" fillId="0" borderId="25" xfId="0" applyBorder="1" applyProtection="1"/>
    <xf numFmtId="0" fontId="0" fillId="0" borderId="32" xfId="0" applyBorder="1" applyAlignment="1" applyProtection="1">
      <alignment horizontal="right"/>
    </xf>
    <xf numFmtId="0" fontId="0" fillId="0" borderId="32" xfId="0" applyBorder="1" applyAlignment="1" applyProtection="1">
      <alignment horizontal="center"/>
    </xf>
    <xf numFmtId="0" fontId="0" fillId="0" borderId="72" xfId="0" applyBorder="1" applyAlignment="1" applyProtection="1">
      <alignment horizontal="center"/>
    </xf>
    <xf numFmtId="0" fontId="0" fillId="0" borderId="63" xfId="0" applyBorder="1" applyProtection="1"/>
    <xf numFmtId="0" fontId="0" fillId="0" borderId="63" xfId="0" applyBorder="1" applyAlignment="1" applyProtection="1">
      <alignment horizontal="center"/>
    </xf>
    <xf numFmtId="0" fontId="0" fillId="0" borderId="109" xfId="0" applyBorder="1" applyProtection="1"/>
    <xf numFmtId="15" fontId="3" fillId="4" borderId="2" xfId="4" applyNumberFormat="1" applyFont="1" applyFill="1" applyBorder="1" applyAlignment="1">
      <alignment horizontal="left"/>
    </xf>
    <xf numFmtId="15" fontId="3" fillId="4" borderId="21" xfId="4" applyNumberFormat="1" applyFont="1" applyFill="1" applyBorder="1" applyAlignment="1">
      <alignment horizontal="left"/>
    </xf>
    <xf numFmtId="15" fontId="3" fillId="4" borderId="31" xfId="4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28" fillId="12" borderId="0" xfId="10" applyFont="1" applyFill="1" applyAlignment="1">
      <alignment horizontal="right" wrapText="1"/>
    </xf>
    <xf numFmtId="0" fontId="28" fillId="12" borderId="28" xfId="10" applyFont="1" applyFill="1" applyBorder="1" applyAlignment="1">
      <alignment horizontal="right" wrapText="1"/>
    </xf>
    <xf numFmtId="0" fontId="28" fillId="12" borderId="36" xfId="10" applyFont="1" applyFill="1" applyBorder="1" applyAlignment="1">
      <alignment horizontal="right" wrapText="1"/>
    </xf>
    <xf numFmtId="0" fontId="28" fillId="12" borderId="30" xfId="10" applyFont="1" applyFill="1" applyBorder="1" applyAlignment="1">
      <alignment horizontal="right" wrapText="1"/>
    </xf>
    <xf numFmtId="0" fontId="6" fillId="14" borderId="25" xfId="10" applyFont="1" applyFill="1" applyBorder="1" applyAlignment="1">
      <alignment horizontal="center"/>
    </xf>
    <xf numFmtId="0" fontId="6" fillId="14" borderId="24" xfId="10" applyFont="1" applyFill="1" applyBorder="1" applyAlignment="1">
      <alignment horizontal="center"/>
    </xf>
    <xf numFmtId="0" fontId="6" fillId="14" borderId="26" xfId="10" applyFont="1" applyFill="1" applyBorder="1" applyAlignment="1">
      <alignment horizontal="center"/>
    </xf>
    <xf numFmtId="0" fontId="6" fillId="14" borderId="32" xfId="10" applyFont="1" applyFill="1" applyBorder="1" applyAlignment="1">
      <alignment horizontal="right"/>
    </xf>
    <xf numFmtId="0" fontId="6" fillId="14" borderId="46" xfId="0" applyFont="1" applyFill="1" applyBorder="1" applyAlignment="1">
      <alignment horizontal="center" vertical="center" textRotation="90"/>
    </xf>
    <xf numFmtId="0" fontId="6" fillId="14" borderId="28" xfId="0" applyFont="1" applyFill="1" applyBorder="1" applyAlignment="1">
      <alignment horizontal="center" vertical="center" textRotation="90"/>
    </xf>
    <xf numFmtId="0" fontId="3" fillId="16" borderId="25" xfId="0" applyFont="1" applyFill="1" applyBorder="1" applyAlignment="1">
      <alignment horizontal="center"/>
    </xf>
    <xf numFmtId="0" fontId="3" fillId="16" borderId="26" xfId="0" applyFont="1" applyFill="1" applyBorder="1" applyAlignment="1">
      <alignment horizontal="center"/>
    </xf>
    <xf numFmtId="0" fontId="6" fillId="14" borderId="33" xfId="10" applyFont="1" applyFill="1" applyBorder="1" applyAlignment="1">
      <alignment horizontal="right"/>
    </xf>
    <xf numFmtId="0" fontId="14" fillId="12" borderId="32" xfId="10" applyFont="1" applyFill="1" applyBorder="1" applyAlignment="1">
      <alignment horizontal="right"/>
    </xf>
    <xf numFmtId="0" fontId="6" fillId="14" borderId="25" xfId="10" applyFont="1" applyFill="1" applyBorder="1" applyAlignment="1">
      <alignment horizontal="left" vertical="center"/>
    </xf>
    <xf numFmtId="0" fontId="6" fillId="14" borderId="26" xfId="10" applyFont="1" applyFill="1" applyBorder="1" applyAlignment="1">
      <alignment horizontal="left" vertical="center"/>
    </xf>
    <xf numFmtId="182" fontId="0" fillId="0" borderId="0" xfId="0" applyNumberFormat="1" applyFill="1" applyBorder="1" applyAlignment="1">
      <alignment horizontal="center"/>
    </xf>
    <xf numFmtId="182" fontId="0" fillId="0" borderId="36" xfId="0" applyNumberFormat="1" applyFill="1" applyBorder="1" applyAlignment="1">
      <alignment horizontal="center"/>
    </xf>
    <xf numFmtId="15" fontId="14" fillId="0" borderId="106" xfId="4" applyNumberFormat="1" applyFont="1" applyBorder="1" applyAlignment="1" applyProtection="1">
      <alignment horizontal="left"/>
    </xf>
    <xf numFmtId="15" fontId="14" fillId="0" borderId="107" xfId="4" applyNumberFormat="1" applyFont="1" applyBorder="1" applyAlignment="1" applyProtection="1">
      <alignment horizontal="left"/>
    </xf>
    <xf numFmtId="15" fontId="14" fillId="0" borderId="95" xfId="4" applyNumberFormat="1" applyFont="1" applyBorder="1" applyAlignment="1" applyProtection="1">
      <alignment horizontal="left"/>
    </xf>
    <xf numFmtId="15" fontId="14" fillId="0" borderId="96" xfId="4" applyNumberFormat="1" applyFont="1" applyBorder="1" applyAlignment="1" applyProtection="1">
      <alignment horizontal="left"/>
    </xf>
    <xf numFmtId="15" fontId="14" fillId="0" borderId="105" xfId="4" applyNumberFormat="1" applyFont="1" applyBorder="1" applyAlignment="1" applyProtection="1">
      <alignment horizontal="left"/>
    </xf>
    <xf numFmtId="15" fontId="14" fillId="0" borderId="104" xfId="4" applyNumberFormat="1" applyFont="1" applyBorder="1" applyAlignment="1" applyProtection="1">
      <alignment horizontal="left"/>
    </xf>
    <xf numFmtId="0" fontId="0" fillId="0" borderId="32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/>
    </xf>
    <xf numFmtId="0" fontId="3" fillId="17" borderId="82" xfId="0" applyFont="1" applyFill="1" applyBorder="1" applyAlignment="1">
      <alignment horizontal="center" wrapText="1"/>
    </xf>
    <xf numFmtId="0" fontId="3" fillId="17" borderId="51" xfId="0" applyFont="1" applyFill="1" applyBorder="1" applyAlignment="1">
      <alignment horizontal="center" wrapText="1"/>
    </xf>
    <xf numFmtId="0" fontId="3" fillId="17" borderId="52" xfId="0" applyFont="1" applyFill="1" applyBorder="1" applyAlignment="1">
      <alignment horizontal="center" wrapText="1"/>
    </xf>
    <xf numFmtId="0" fontId="3" fillId="17" borderId="83" xfId="0" applyFont="1" applyFill="1" applyBorder="1" applyAlignment="1">
      <alignment horizontal="right"/>
    </xf>
    <xf numFmtId="0" fontId="3" fillId="17" borderId="55" xfId="0" applyFont="1" applyFill="1" applyBorder="1" applyAlignment="1">
      <alignment horizontal="right"/>
    </xf>
    <xf numFmtId="0" fontId="3" fillId="17" borderId="83" xfId="0" applyFont="1" applyFill="1" applyBorder="1" applyAlignment="1">
      <alignment horizontal="right" wrapText="1"/>
    </xf>
    <xf numFmtId="0" fontId="3" fillId="17" borderId="75" xfId="0" applyFont="1" applyFill="1" applyBorder="1" applyAlignment="1">
      <alignment horizontal="right" wrapText="1"/>
    </xf>
    <xf numFmtId="186" fontId="0" fillId="0" borderId="71" xfId="1" applyNumberFormat="1" applyFont="1" applyBorder="1" applyAlignment="1">
      <alignment horizontal="center" vertical="center"/>
    </xf>
    <xf numFmtId="186" fontId="0" fillId="0" borderId="35" xfId="1" applyNumberFormat="1" applyFont="1" applyBorder="1" applyAlignment="1">
      <alignment horizontal="center" vertical="center"/>
    </xf>
    <xf numFmtId="186" fontId="0" fillId="0" borderId="73" xfId="1" applyNumberFormat="1" applyFont="1" applyBorder="1" applyAlignment="1">
      <alignment horizontal="center" vertical="center"/>
    </xf>
    <xf numFmtId="186" fontId="0" fillId="0" borderId="69" xfId="1" applyNumberFormat="1" applyFont="1" applyBorder="1" applyAlignment="1">
      <alignment horizontal="center" vertical="center"/>
    </xf>
    <xf numFmtId="186" fontId="0" fillId="0" borderId="76" xfId="1" applyNumberFormat="1" applyFont="1" applyBorder="1" applyAlignment="1">
      <alignment horizontal="center" vertical="center"/>
    </xf>
    <xf numFmtId="186" fontId="0" fillId="0" borderId="74" xfId="1" applyNumberFormat="1" applyFont="1" applyBorder="1" applyAlignment="1">
      <alignment horizontal="center" vertical="center"/>
    </xf>
    <xf numFmtId="0" fontId="3" fillId="17" borderId="50" xfId="0" applyFont="1" applyFill="1" applyBorder="1" applyAlignment="1">
      <alignment horizontal="center" vertical="center" wrapText="1"/>
    </xf>
    <xf numFmtId="0" fontId="3" fillId="17" borderId="52" xfId="0" applyFont="1" applyFill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4" fontId="5" fillId="9" borderId="58" xfId="0" applyNumberFormat="1" applyFont="1" applyFill="1" applyBorder="1" applyAlignment="1">
      <alignment horizontal="center" vertical="center"/>
    </xf>
    <xf numFmtId="4" fontId="5" fillId="9" borderId="60" xfId="0" applyNumberFormat="1" applyFont="1" applyFill="1" applyBorder="1" applyAlignment="1">
      <alignment horizontal="center" vertical="center"/>
    </xf>
    <xf numFmtId="4" fontId="5" fillId="9" borderId="64" xfId="0" applyNumberFormat="1" applyFont="1" applyFill="1" applyBorder="1" applyAlignment="1">
      <alignment horizontal="center" vertical="center"/>
    </xf>
    <xf numFmtId="186" fontId="0" fillId="0" borderId="57" xfId="1" applyNumberFormat="1" applyFont="1" applyBorder="1" applyAlignment="1">
      <alignment horizontal="center" vertical="center"/>
    </xf>
    <xf numFmtId="186" fontId="0" fillId="0" borderId="32" xfId="1" applyNumberFormat="1" applyFont="1" applyBorder="1" applyAlignment="1">
      <alignment horizontal="center" vertical="center"/>
    </xf>
    <xf numFmtId="186" fontId="0" fillId="0" borderId="63" xfId="1" applyNumberFormat="1" applyFont="1" applyBorder="1" applyAlignment="1">
      <alignment horizontal="center" vertical="center"/>
    </xf>
  </cellXfs>
  <cellStyles count="109">
    <cellStyle name="20% - Accent1" xfId="13" xr:uid="{00000000-0005-0000-0000-000000000000}"/>
    <cellStyle name="20% - Accent2" xfId="14" xr:uid="{00000000-0005-0000-0000-000001000000}"/>
    <cellStyle name="20% - Accent3" xfId="15" xr:uid="{00000000-0005-0000-0000-000002000000}"/>
    <cellStyle name="20% - Accent4" xfId="16" xr:uid="{00000000-0005-0000-0000-000003000000}"/>
    <cellStyle name="20% - Accent5" xfId="17" xr:uid="{00000000-0005-0000-0000-000004000000}"/>
    <cellStyle name="20% - Accent6" xfId="18" xr:uid="{00000000-0005-0000-0000-000005000000}"/>
    <cellStyle name="40% - Accent1" xfId="19" xr:uid="{00000000-0005-0000-0000-000006000000}"/>
    <cellStyle name="40% - Accent2" xfId="20" xr:uid="{00000000-0005-0000-0000-000007000000}"/>
    <cellStyle name="40% - Accent3" xfId="21" xr:uid="{00000000-0005-0000-0000-000008000000}"/>
    <cellStyle name="40% - Accent4" xfId="22" xr:uid="{00000000-0005-0000-0000-000009000000}"/>
    <cellStyle name="40% - Accent5" xfId="23" xr:uid="{00000000-0005-0000-0000-00000A000000}"/>
    <cellStyle name="40% - Accent6" xfId="24" xr:uid="{00000000-0005-0000-0000-00000B000000}"/>
    <cellStyle name="60% - Accent1" xfId="25" xr:uid="{00000000-0005-0000-0000-00000C000000}"/>
    <cellStyle name="60% - Accent2" xfId="26" xr:uid="{00000000-0005-0000-0000-00000D000000}"/>
    <cellStyle name="60% - Accent3" xfId="27" xr:uid="{00000000-0005-0000-0000-00000E000000}"/>
    <cellStyle name="60% - Accent4" xfId="28" xr:uid="{00000000-0005-0000-0000-00000F000000}"/>
    <cellStyle name="60% - Accent5" xfId="29" xr:uid="{00000000-0005-0000-0000-000010000000}"/>
    <cellStyle name="60% - Accent6" xfId="30" xr:uid="{00000000-0005-0000-0000-000011000000}"/>
    <cellStyle name="60% - Colore 2 2" xfId="7" xr:uid="{00000000-0005-0000-0000-000012000000}"/>
    <cellStyle name="Accent1" xfId="31" xr:uid="{00000000-0005-0000-0000-000013000000}"/>
    <cellStyle name="Accent2" xfId="32" xr:uid="{00000000-0005-0000-0000-000014000000}"/>
    <cellStyle name="Accent3" xfId="33" xr:uid="{00000000-0005-0000-0000-000015000000}"/>
    <cellStyle name="Accent4" xfId="34" xr:uid="{00000000-0005-0000-0000-000016000000}"/>
    <cellStyle name="Accent5" xfId="35" xr:uid="{00000000-0005-0000-0000-000017000000}"/>
    <cellStyle name="Accent6" xfId="36" xr:uid="{00000000-0005-0000-0000-000018000000}"/>
    <cellStyle name="Bad" xfId="37" xr:uid="{00000000-0005-0000-0000-000019000000}"/>
    <cellStyle name="Berechnung" xfId="3" builtinId="22"/>
    <cellStyle name="Calculation" xfId="38" xr:uid="{00000000-0005-0000-0000-00001B000000}"/>
    <cellStyle name="Calculation 2" xfId="104" xr:uid="{00000000-0005-0000-0000-00001C000000}"/>
    <cellStyle name="Check Cell" xfId="39" xr:uid="{00000000-0005-0000-0000-00001D000000}"/>
    <cellStyle name="contentStyle" xfId="40" xr:uid="{00000000-0005-0000-0000-00001E000000}"/>
    <cellStyle name="dateStyle" xfId="41" xr:uid="{00000000-0005-0000-0000-00001F000000}"/>
    <cellStyle name="defaultNumberStyle" xfId="42" xr:uid="{00000000-0005-0000-0000-000020000000}"/>
    <cellStyle name="E Head0" xfId="43" xr:uid="{00000000-0005-0000-0000-000021000000}"/>
    <cellStyle name="E Head1" xfId="44" xr:uid="{00000000-0005-0000-0000-000022000000}"/>
    <cellStyle name="E Head2" xfId="45" xr:uid="{00000000-0005-0000-0000-000023000000}"/>
    <cellStyle name="E Normal" xfId="46" xr:uid="{00000000-0005-0000-0000-000024000000}"/>
    <cellStyle name="Eingabe" xfId="62" builtinId="20"/>
    <cellStyle name="Euro" xfId="47" xr:uid="{00000000-0005-0000-0000-000026000000}"/>
    <cellStyle name="Euro 2" xfId="48" xr:uid="{00000000-0005-0000-0000-000027000000}"/>
    <cellStyle name="Explanatory Text" xfId="49" xr:uid="{00000000-0005-0000-0000-000028000000}"/>
    <cellStyle name="Good" xfId="50" xr:uid="{00000000-0005-0000-0000-000029000000}"/>
    <cellStyle name="headerStyle" xfId="51" xr:uid="{00000000-0005-0000-0000-00002A000000}"/>
    <cellStyle name="Heading 1" xfId="52" xr:uid="{00000000-0005-0000-0000-00002B000000}"/>
    <cellStyle name="Heading 2" xfId="53" xr:uid="{00000000-0005-0000-0000-00002C000000}"/>
    <cellStyle name="Heading 3" xfId="54" xr:uid="{00000000-0005-0000-0000-00002D000000}"/>
    <cellStyle name="Heading 3 2" xfId="55" xr:uid="{00000000-0005-0000-0000-00002E000000}"/>
    <cellStyle name="Heading 4" xfId="56" xr:uid="{00000000-0005-0000-0000-00002F000000}"/>
    <cellStyle name="headlineDateStyle" xfId="57" xr:uid="{00000000-0005-0000-0000-000030000000}"/>
    <cellStyle name="headlineDefaultNumberStyle" xfId="58" xr:uid="{00000000-0005-0000-0000-000031000000}"/>
    <cellStyle name="headlineNumberStyle" xfId="59" xr:uid="{00000000-0005-0000-0000-000032000000}"/>
    <cellStyle name="headlineStyle" xfId="60" xr:uid="{00000000-0005-0000-0000-000033000000}"/>
    <cellStyle name="Hyperlink 2" xfId="61" xr:uid="{00000000-0005-0000-0000-000034000000}"/>
    <cellStyle name="Input 2" xfId="105" xr:uid="{00000000-0005-0000-0000-000036000000}"/>
    <cellStyle name="Komma" xfId="1" builtinId="3"/>
    <cellStyle name="Komma 2" xfId="63" xr:uid="{00000000-0005-0000-0000-000038000000}"/>
    <cellStyle name="Komma 2 2" xfId="64" xr:uid="{00000000-0005-0000-0000-000039000000}"/>
    <cellStyle name="Komma 3" xfId="65" xr:uid="{00000000-0005-0000-0000-00003A000000}"/>
    <cellStyle name="Komma 3 2" xfId="66" xr:uid="{00000000-0005-0000-0000-00003B000000}"/>
    <cellStyle name="Komma 4" xfId="9" xr:uid="{00000000-0005-0000-0000-00003C000000}"/>
    <cellStyle name="Linked Cell" xfId="67" xr:uid="{00000000-0005-0000-0000-00003D000000}"/>
    <cellStyle name="Migliaia 2" xfId="68" xr:uid="{00000000-0005-0000-0000-00003E000000}"/>
    <cellStyle name="Migliaia 3" xfId="8" xr:uid="{00000000-0005-0000-0000-00003F000000}"/>
    <cellStyle name="Migliaia 4 2" xfId="6" xr:uid="{00000000-0005-0000-0000-000040000000}"/>
    <cellStyle name="Migliaia 5" xfId="69" xr:uid="{00000000-0005-0000-0000-000041000000}"/>
    <cellStyle name="Normal 2" xfId="10" xr:uid="{00000000-0005-0000-0000-000042000000}"/>
    <cellStyle name="Normal_Sheet1" xfId="70" xr:uid="{00000000-0005-0000-0000-000043000000}"/>
    <cellStyle name="Normale 2" xfId="11" xr:uid="{00000000-0005-0000-0000-000044000000}"/>
    <cellStyle name="Normale 6 4" xfId="4" xr:uid="{00000000-0005-0000-0000-000045000000}"/>
    <cellStyle name="Note" xfId="71" xr:uid="{00000000-0005-0000-0000-000046000000}"/>
    <cellStyle name="Note 2" xfId="106" xr:uid="{00000000-0005-0000-0000-000047000000}"/>
    <cellStyle name="numberStyle" xfId="72" xr:uid="{00000000-0005-0000-0000-000048000000}"/>
    <cellStyle name="Output" xfId="73" xr:uid="{00000000-0005-0000-0000-000049000000}"/>
    <cellStyle name="Output 2" xfId="107" xr:uid="{00000000-0005-0000-0000-00004A000000}"/>
    <cellStyle name="Percentuale 2" xfId="12" xr:uid="{00000000-0005-0000-0000-00004B000000}"/>
    <cellStyle name="Percentuale 5 2" xfId="5" xr:uid="{00000000-0005-0000-0000-00004C000000}"/>
    <cellStyle name="Prozent" xfId="2" builtinId="5"/>
    <cellStyle name="Prozent 2" xfId="74" xr:uid="{00000000-0005-0000-0000-00004E000000}"/>
    <cellStyle name="Prozent 3" xfId="75" xr:uid="{00000000-0005-0000-0000-00004F000000}"/>
    <cellStyle name="Standard" xfId="0" builtinId="0"/>
    <cellStyle name="Standard 10" xfId="76" xr:uid="{00000000-0005-0000-0000-000051000000}"/>
    <cellStyle name="Standard 10 2 2 2" xfId="77" xr:uid="{00000000-0005-0000-0000-000052000000}"/>
    <cellStyle name="Standard 11" xfId="78" xr:uid="{00000000-0005-0000-0000-000053000000}"/>
    <cellStyle name="Standard 11 2" xfId="79" xr:uid="{00000000-0005-0000-0000-000054000000}"/>
    <cellStyle name="Standard 13" xfId="80" xr:uid="{00000000-0005-0000-0000-000055000000}"/>
    <cellStyle name="Standard 2" xfId="81" xr:uid="{00000000-0005-0000-0000-000056000000}"/>
    <cellStyle name="Standard 2 2" xfId="82" xr:uid="{00000000-0005-0000-0000-000057000000}"/>
    <cellStyle name="Standard 2 2 2" xfId="83" xr:uid="{00000000-0005-0000-0000-000058000000}"/>
    <cellStyle name="Standard 2 3" xfId="84" xr:uid="{00000000-0005-0000-0000-000059000000}"/>
    <cellStyle name="Standard 3" xfId="85" xr:uid="{00000000-0005-0000-0000-00005A000000}"/>
    <cellStyle name="Standard 3 2" xfId="86" xr:uid="{00000000-0005-0000-0000-00005B000000}"/>
    <cellStyle name="Standard 3_LTC-PnL" xfId="87" xr:uid="{00000000-0005-0000-0000-00005C000000}"/>
    <cellStyle name="Standard 4" xfId="88" xr:uid="{00000000-0005-0000-0000-00005D000000}"/>
    <cellStyle name="Standard 4 2" xfId="89" xr:uid="{00000000-0005-0000-0000-00005E000000}"/>
    <cellStyle name="Standard 5" xfId="90" xr:uid="{00000000-0005-0000-0000-00005F000000}"/>
    <cellStyle name="Standard 6" xfId="91" xr:uid="{00000000-0005-0000-0000-000060000000}"/>
    <cellStyle name="Standard 7" xfId="92" xr:uid="{00000000-0005-0000-0000-000061000000}"/>
    <cellStyle name="Standard 8" xfId="93" xr:uid="{00000000-0005-0000-0000-000062000000}"/>
    <cellStyle name="Standard 9" xfId="94" xr:uid="{00000000-0005-0000-0000-000063000000}"/>
    <cellStyle name="tariffHeadlineStyle" xfId="95" xr:uid="{00000000-0005-0000-0000-000064000000}"/>
    <cellStyle name="tariffStyle" xfId="96" xr:uid="{00000000-0005-0000-0000-000065000000}"/>
    <cellStyle name="Title" xfId="97" xr:uid="{00000000-0005-0000-0000-000066000000}"/>
    <cellStyle name="Total" xfId="98" xr:uid="{00000000-0005-0000-0000-000067000000}"/>
    <cellStyle name="Total 2" xfId="108" xr:uid="{00000000-0005-0000-0000-000068000000}"/>
    <cellStyle name="Überschrift 1 2" xfId="99" xr:uid="{00000000-0005-0000-0000-000069000000}"/>
    <cellStyle name="Überschrift 2 2" xfId="100" xr:uid="{00000000-0005-0000-0000-00006A000000}"/>
    <cellStyle name="Überschrift 5" xfId="101" xr:uid="{00000000-0005-0000-0000-00006B000000}"/>
    <cellStyle name="Undefiniert" xfId="102" xr:uid="{00000000-0005-0000-0000-00006C000000}"/>
    <cellStyle name="Warning Text" xfId="103" xr:uid="{00000000-0005-0000-0000-00006D000000}"/>
  </cellStyles>
  <dxfs count="4">
    <dxf>
      <font>
        <color theme="0" tint="-0.34998626667073579"/>
      </font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EB84"/>
      <color rgb="FFFF99CC"/>
      <color rgb="FF00486A"/>
      <color rgb="FF007E69"/>
      <color rgb="FF99FF66"/>
      <color rgb="FFB1A0C7"/>
      <color rgb="FF00DE64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, Parameters"/>
      <sheetName val="adjusted Tariffs"/>
      <sheetName val="theor. Tariffs"/>
      <sheetName val="&gt;&gt;Calculations"/>
      <sheetName val="1 VP distances"/>
      <sheetName val="2a ENTRY tariffs"/>
      <sheetName val="2b EXIT tariffs"/>
      <sheetName val="3 ITCs"/>
      <sheetName val="Checks"/>
      <sheetName val="&gt;&gt;Inputs"/>
      <sheetName val="Capacities"/>
      <sheetName val="Coords, Distances"/>
      <sheetName val="DZK relations"/>
      <sheetName val="Tarife_gesamt reviewed"/>
      <sheetName val="CAA capacity"/>
      <sheetName val="CAA commodity"/>
      <sheetName val="VTPB"/>
    </sheetNames>
    <sheetDataSet>
      <sheetData sheetId="0">
        <row r="43">
          <cell r="E43">
            <v>400368650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6">
          <cell r="C36">
            <v>288737341.04930234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1409D-0607-4A70-8E4B-CF1E7F1E7694}">
  <sheetPr>
    <tabColor theme="6" tint="0.39997558519241921"/>
  </sheetPr>
  <dimension ref="A1:M58"/>
  <sheetViews>
    <sheetView tabSelected="1" workbookViewId="0">
      <selection activeCell="I28" sqref="I28"/>
    </sheetView>
  </sheetViews>
  <sheetFormatPr baseColWidth="10" defaultColWidth="11.42578125" defaultRowHeight="15" x14ac:dyDescent="0.25"/>
  <cols>
    <col min="1" max="1" width="5.85546875" style="262" customWidth="1"/>
    <col min="2" max="2" width="22" style="262" customWidth="1"/>
    <col min="3" max="3" width="11.5703125" style="262" customWidth="1"/>
    <col min="4" max="4" width="16" style="262" customWidth="1"/>
    <col min="5" max="6" width="11.5703125" style="262" customWidth="1"/>
    <col min="7" max="7" width="10.85546875" style="262"/>
  </cols>
  <sheetData>
    <row r="1" spans="1:13" x14ac:dyDescent="0.25">
      <c r="A1" s="517"/>
      <c r="B1" s="518" t="s">
        <v>423</v>
      </c>
      <c r="C1" s="518"/>
      <c r="D1" s="518"/>
      <c r="F1" s="106"/>
      <c r="G1" s="106"/>
      <c r="H1" s="262"/>
      <c r="I1" s="262"/>
      <c r="J1" s="262"/>
      <c r="K1" s="262"/>
      <c r="L1" s="262"/>
      <c r="M1" s="262"/>
    </row>
    <row r="2" spans="1:13" x14ac:dyDescent="0.25">
      <c r="A2" s="519"/>
      <c r="B2" s="518" t="s">
        <v>424</v>
      </c>
      <c r="C2" s="518"/>
      <c r="D2" s="518"/>
      <c r="H2" s="262"/>
      <c r="I2" s="262"/>
      <c r="J2" s="262"/>
      <c r="K2" s="262"/>
      <c r="L2" s="262"/>
      <c r="M2" s="262"/>
    </row>
    <row r="3" spans="1:13" x14ac:dyDescent="0.25">
      <c r="A3" s="520"/>
      <c r="B3" s="106"/>
      <c r="C3" s="106"/>
      <c r="D3" s="106"/>
      <c r="E3" s="106"/>
      <c r="H3" s="262"/>
      <c r="I3" s="262"/>
      <c r="J3" s="262"/>
      <c r="K3" s="262"/>
      <c r="L3" s="262"/>
      <c r="M3" s="262"/>
    </row>
    <row r="4" spans="1:13" ht="18.75" x14ac:dyDescent="0.3">
      <c r="A4" s="521" t="s">
        <v>425</v>
      </c>
      <c r="B4" s="522"/>
      <c r="C4" s="518"/>
      <c r="D4" s="523"/>
      <c r="E4" s="523"/>
      <c r="F4" s="523"/>
      <c r="G4" s="523"/>
      <c r="H4" s="262"/>
      <c r="I4" s="262"/>
      <c r="J4" s="262"/>
      <c r="K4" s="262"/>
      <c r="L4" s="262"/>
      <c r="M4" s="262"/>
    </row>
    <row r="5" spans="1:13" ht="15.75" thickBot="1" x14ac:dyDescent="0.3">
      <c r="A5" s="3"/>
      <c r="B5" s="3"/>
      <c r="C5" s="524"/>
      <c r="D5" s="525"/>
      <c r="E5" s="525"/>
      <c r="F5" s="3"/>
      <c r="G5" s="525"/>
      <c r="H5" s="262"/>
      <c r="I5" s="262"/>
      <c r="J5" s="262"/>
      <c r="K5" s="262"/>
      <c r="L5" s="262"/>
      <c r="M5" s="262"/>
    </row>
    <row r="6" spans="1:13" ht="16.5" x14ac:dyDescent="0.3">
      <c r="A6" s="526"/>
      <c r="B6" s="527"/>
      <c r="C6" s="528" t="s">
        <v>137</v>
      </c>
      <c r="D6" s="528" t="s">
        <v>1</v>
      </c>
      <c r="E6" s="529" t="s">
        <v>303</v>
      </c>
      <c r="F6" s="529" t="s">
        <v>305</v>
      </c>
      <c r="G6" s="530" t="s">
        <v>203</v>
      </c>
      <c r="H6" s="262"/>
      <c r="I6" s="262"/>
      <c r="J6" s="262"/>
      <c r="K6" s="262"/>
      <c r="L6" s="262"/>
      <c r="M6" s="262"/>
    </row>
    <row r="7" spans="1:13" ht="16.5" x14ac:dyDescent="0.3">
      <c r="A7" s="531" t="s">
        <v>426</v>
      </c>
      <c r="B7" s="532"/>
      <c r="C7" s="533" t="s">
        <v>427</v>
      </c>
      <c r="D7" s="533" t="s">
        <v>428</v>
      </c>
      <c r="E7" s="534" t="s">
        <v>304</v>
      </c>
      <c r="F7" s="534" t="s">
        <v>304</v>
      </c>
      <c r="G7" s="535" t="s">
        <v>204</v>
      </c>
      <c r="H7" s="262"/>
      <c r="I7" s="262"/>
      <c r="J7" s="262"/>
      <c r="K7" s="262"/>
      <c r="L7" s="262"/>
      <c r="M7" s="262"/>
    </row>
    <row r="8" spans="1:13" ht="16.5" thickBot="1" x14ac:dyDescent="0.35">
      <c r="A8" s="531"/>
      <c r="B8" s="532"/>
      <c r="C8" s="536" t="s">
        <v>131</v>
      </c>
      <c r="D8" s="536" t="s">
        <v>131</v>
      </c>
      <c r="E8" s="537" t="s">
        <v>131</v>
      </c>
      <c r="F8" s="537"/>
      <c r="G8" s="94" t="s">
        <v>131</v>
      </c>
      <c r="H8" s="262"/>
      <c r="I8" s="262"/>
      <c r="J8" s="262"/>
      <c r="K8" s="262"/>
      <c r="L8" s="262"/>
      <c r="M8" s="262"/>
    </row>
    <row r="9" spans="1:13" x14ac:dyDescent="0.25">
      <c r="A9" s="531" t="s">
        <v>3</v>
      </c>
      <c r="B9" s="532"/>
      <c r="C9" s="538">
        <f>Overview!G9</f>
        <v>0.84700000000000009</v>
      </c>
      <c r="D9" s="539">
        <f>Overview!H9</f>
        <v>0.77</v>
      </c>
      <c r="E9" s="539">
        <f>Overview!I9</f>
        <v>7.7000000000000068E-2</v>
      </c>
      <c r="F9" s="540">
        <f>Overview!J9</f>
        <v>0.10000000000000009</v>
      </c>
      <c r="G9" s="541">
        <f>Overview!K9</f>
        <v>2.2862786984457464</v>
      </c>
      <c r="H9" s="262"/>
      <c r="I9" s="262"/>
      <c r="J9" s="262"/>
      <c r="K9" s="262"/>
      <c r="L9" s="262"/>
      <c r="M9" s="262"/>
    </row>
    <row r="10" spans="1:13" x14ac:dyDescent="0.25">
      <c r="A10" s="531" t="s">
        <v>5</v>
      </c>
      <c r="B10" s="532"/>
      <c r="C10" s="542">
        <f>Overview!G10</f>
        <v>1.1237380354023243</v>
      </c>
      <c r="D10" s="361">
        <f>Overview!H10</f>
        <v>1.3</v>
      </c>
      <c r="E10" s="361">
        <f>Overview!I10</f>
        <v>-0.17626196459767574</v>
      </c>
      <c r="F10" s="543">
        <f>Overview!J10</f>
        <v>-0.1355861266135967</v>
      </c>
      <c r="G10" s="544">
        <f>Overview!K10</f>
        <v>2.2862786984457464</v>
      </c>
      <c r="H10" s="262"/>
      <c r="I10" s="262"/>
      <c r="J10" s="262"/>
      <c r="K10" s="262"/>
      <c r="L10" s="262"/>
      <c r="M10" s="262"/>
    </row>
    <row r="11" spans="1:13" x14ac:dyDescent="0.25">
      <c r="A11" s="531" t="s">
        <v>7</v>
      </c>
      <c r="B11" s="532"/>
      <c r="C11" s="542">
        <f>Overview!G11</f>
        <v>1.1237380354023243</v>
      </c>
      <c r="D11" s="361">
        <f>Overview!H11</f>
        <v>1.3</v>
      </c>
      <c r="E11" s="361">
        <f>Overview!I11</f>
        <v>-0.17626196459767574</v>
      </c>
      <c r="F11" s="543">
        <f>Overview!J11</f>
        <v>-0.1355861266135967</v>
      </c>
      <c r="G11" s="544">
        <f>Overview!K11</f>
        <v>2.2862786984457464</v>
      </c>
      <c r="H11" s="262"/>
      <c r="I11" s="262"/>
      <c r="J11" s="262"/>
      <c r="K11" s="262"/>
      <c r="L11" s="262"/>
      <c r="M11" s="262"/>
    </row>
    <row r="12" spans="1:13" x14ac:dyDescent="0.25">
      <c r="A12" s="531" t="s">
        <v>9</v>
      </c>
      <c r="B12" s="532"/>
      <c r="C12" s="542">
        <f>Overview!G12</f>
        <v>0.84700000000000009</v>
      </c>
      <c r="D12" s="361">
        <f>Overview!H12</f>
        <v>0.77</v>
      </c>
      <c r="E12" s="361">
        <f>Overview!I12</f>
        <v>7.7000000000000068E-2</v>
      </c>
      <c r="F12" s="543">
        <f>Overview!J12</f>
        <v>0.10000000000000009</v>
      </c>
      <c r="G12" s="544">
        <f>Overview!K12</f>
        <v>2.2862786984457464</v>
      </c>
      <c r="H12" s="262"/>
      <c r="I12" s="262"/>
      <c r="J12" s="262"/>
      <c r="K12" s="262"/>
      <c r="L12" s="262"/>
      <c r="M12" s="262"/>
    </row>
    <row r="13" spans="1:13" x14ac:dyDescent="0.25">
      <c r="A13" s="531" t="s">
        <v>11</v>
      </c>
      <c r="B13" s="532"/>
      <c r="C13" s="542">
        <f>Overview!G13</f>
        <v>1.1237380354023243</v>
      </c>
      <c r="D13" s="361">
        <f>Overview!H13</f>
        <v>1.1000000000000001</v>
      </c>
      <c r="E13" s="361">
        <f>Overview!I13</f>
        <v>2.373803540232422E-2</v>
      </c>
      <c r="F13" s="543">
        <f>Overview!J13</f>
        <v>2.1580032183931008E-2</v>
      </c>
      <c r="G13" s="544">
        <f>Overview!K13</f>
        <v>2.2862786984457464</v>
      </c>
      <c r="H13" s="262"/>
      <c r="I13" s="262"/>
      <c r="J13" s="262"/>
      <c r="K13" s="262"/>
      <c r="L13" s="262"/>
      <c r="M13" s="262"/>
    </row>
    <row r="14" spans="1:13" x14ac:dyDescent="0.25">
      <c r="A14" s="531" t="s">
        <v>13</v>
      </c>
      <c r="B14" s="532"/>
      <c r="C14" s="542">
        <f>Overview!G14</f>
        <v>0.84700000000000009</v>
      </c>
      <c r="D14" s="361">
        <f>Overview!H14</f>
        <v>0.77</v>
      </c>
      <c r="E14" s="361">
        <f>Overview!I14</f>
        <v>7.7000000000000068E-2</v>
      </c>
      <c r="F14" s="543">
        <f>Overview!J14</f>
        <v>0.10000000000000009</v>
      </c>
      <c r="G14" s="544">
        <f>Overview!K14</f>
        <v>2.2862786984457464</v>
      </c>
      <c r="H14" s="262"/>
      <c r="I14" s="262"/>
      <c r="J14" s="262"/>
      <c r="K14" s="262"/>
      <c r="L14" s="262"/>
      <c r="M14" s="262"/>
    </row>
    <row r="15" spans="1:13" x14ac:dyDescent="0.25">
      <c r="A15" s="531" t="s">
        <v>15</v>
      </c>
      <c r="B15" s="532"/>
      <c r="C15" s="542">
        <f>Overview!G15</f>
        <v>1.2320000000000002</v>
      </c>
      <c r="D15" s="361">
        <f>Overview!H15</f>
        <v>1.1200000000000001</v>
      </c>
      <c r="E15" s="361">
        <f>Overview!I15</f>
        <v>0.1120000000000001</v>
      </c>
      <c r="F15" s="543">
        <f>Overview!J15</f>
        <v>0.10000000000000009</v>
      </c>
      <c r="G15" s="544">
        <f>Overview!K15</f>
        <v>0.53797142504319928</v>
      </c>
      <c r="H15" s="262"/>
      <c r="I15" s="262"/>
      <c r="J15" s="262"/>
      <c r="K15" s="262"/>
      <c r="L15" s="262"/>
      <c r="M15" s="262"/>
    </row>
    <row r="16" spans="1:13" x14ac:dyDescent="0.25">
      <c r="A16" s="531" t="s">
        <v>17</v>
      </c>
      <c r="B16" s="532"/>
      <c r="C16" s="542">
        <f>Overview!G16</f>
        <v>3.4858131401402588</v>
      </c>
      <c r="D16" s="361">
        <f>Overview!H16</f>
        <v>3.44</v>
      </c>
      <c r="E16" s="361">
        <f>Overview!I16</f>
        <v>4.5813140140258835E-2</v>
      </c>
      <c r="F16" s="543">
        <f>Overview!J16</f>
        <v>1.3317773296586788E-2</v>
      </c>
      <c r="G16" s="544">
        <f>Overview!K16</f>
        <v>1.7748332631610644</v>
      </c>
      <c r="H16" s="262"/>
      <c r="I16" s="262"/>
      <c r="J16" s="262"/>
      <c r="K16" s="262"/>
      <c r="L16" s="262"/>
      <c r="M16" s="262"/>
    </row>
    <row r="17" spans="1:13" x14ac:dyDescent="0.25">
      <c r="A17" s="531" t="s">
        <v>19</v>
      </c>
      <c r="B17" s="532"/>
      <c r="C17" s="542">
        <f>Overview!G17</f>
        <v>1.8999957199999997</v>
      </c>
      <c r="D17" s="361">
        <f>Overview!H17</f>
        <v>3.33</v>
      </c>
      <c r="E17" s="361">
        <f>Overview!I17</f>
        <v>-1.4300042800000003</v>
      </c>
      <c r="F17" s="543">
        <f>Overview!J17</f>
        <v>-0.42943071471471483</v>
      </c>
      <c r="G17" s="544">
        <f>Overview!K17</f>
        <v>0.41543113486441718</v>
      </c>
      <c r="H17" s="262"/>
      <c r="I17" s="262"/>
      <c r="J17" s="262"/>
      <c r="K17" s="262"/>
      <c r="L17" s="262"/>
      <c r="M17" s="262"/>
    </row>
    <row r="18" spans="1:13" x14ac:dyDescent="0.25">
      <c r="A18" s="531" t="s">
        <v>21</v>
      </c>
      <c r="B18" s="532"/>
      <c r="C18" s="542">
        <f>Overview!G18</f>
        <v>1.2320000000000002</v>
      </c>
      <c r="D18" s="361">
        <f>Overview!H18</f>
        <v>1.1200000000000001</v>
      </c>
      <c r="E18" s="361">
        <f>Overview!I18</f>
        <v>0.1120000000000001</v>
      </c>
      <c r="F18" s="543">
        <f>Overview!J18</f>
        <v>0.10000000000000009</v>
      </c>
      <c r="G18" s="544">
        <f>Overview!K18</f>
        <v>0.53797142504319928</v>
      </c>
      <c r="H18" s="262"/>
      <c r="I18" s="262"/>
      <c r="J18" s="262"/>
      <c r="K18" s="262"/>
      <c r="L18" s="262"/>
      <c r="M18" s="262"/>
    </row>
    <row r="19" spans="1:13" x14ac:dyDescent="0.25">
      <c r="A19" s="531" t="s">
        <v>429</v>
      </c>
      <c r="B19" s="532"/>
      <c r="C19" s="542">
        <f>Overview!G19</f>
        <v>1.2320000000000002</v>
      </c>
      <c r="D19" s="361">
        <f>Overview!H19</f>
        <v>1.1200000000000001</v>
      </c>
      <c r="E19" s="361">
        <f>Overview!I19</f>
        <v>0.1120000000000001</v>
      </c>
      <c r="F19" s="543">
        <f>Overview!J19</f>
        <v>0.10000000000000009</v>
      </c>
      <c r="G19" s="544">
        <f>Overview!K19</f>
        <v>0.53797142504319928</v>
      </c>
      <c r="H19" s="262"/>
      <c r="I19" s="262"/>
      <c r="J19" s="262"/>
      <c r="K19" s="262"/>
      <c r="L19" s="262"/>
      <c r="M19" s="262"/>
    </row>
    <row r="20" spans="1:13" x14ac:dyDescent="0.25">
      <c r="A20" s="531" t="s">
        <v>24</v>
      </c>
      <c r="B20" s="532"/>
      <c r="C20" s="542">
        <f>Overview!G20</f>
        <v>0.46889659827290503</v>
      </c>
      <c r="D20" s="361">
        <f>Overview!H20</f>
        <v>0.53</v>
      </c>
      <c r="E20" s="361">
        <f>Overview!I20</f>
        <v>-6.1103401727094997E-2</v>
      </c>
      <c r="F20" s="543">
        <f>Overview!J20</f>
        <v>-0.11528943722093399</v>
      </c>
      <c r="G20" s="544">
        <f>Overview!K20</f>
        <v>0.65534378655105607</v>
      </c>
      <c r="H20" s="262"/>
      <c r="I20" s="262"/>
      <c r="J20" s="262"/>
      <c r="K20" s="262"/>
      <c r="L20" s="262"/>
      <c r="M20" s="262"/>
    </row>
    <row r="21" spans="1:13" x14ac:dyDescent="0.25">
      <c r="A21" s="531" t="s">
        <v>430</v>
      </c>
      <c r="B21" s="532"/>
      <c r="C21" s="542">
        <f>Overview!G21</f>
        <v>0</v>
      </c>
      <c r="D21" s="361">
        <f>Overview!H21</f>
        <v>0</v>
      </c>
      <c r="E21" s="361">
        <f>Overview!I21</f>
        <v>0</v>
      </c>
      <c r="F21" s="543" t="str">
        <f>Overview!J21</f>
        <v/>
      </c>
      <c r="G21" s="544">
        <f>Overview!K21</f>
        <v>2.2862786984457464</v>
      </c>
      <c r="H21" s="262"/>
      <c r="I21" s="262"/>
      <c r="J21" s="262"/>
      <c r="K21" s="262"/>
      <c r="L21" s="262"/>
      <c r="M21" s="262"/>
    </row>
    <row r="22" spans="1:13" x14ac:dyDescent="0.25">
      <c r="A22" s="531" t="s">
        <v>26</v>
      </c>
      <c r="B22" s="532"/>
      <c r="C22" s="542">
        <f>Overview!G22</f>
        <v>3.4858131401402588</v>
      </c>
      <c r="D22" s="361">
        <f>Overview!H22</f>
        <v>3.44</v>
      </c>
      <c r="E22" s="361">
        <f>Overview!I22</f>
        <v>4.5813140140258835E-2</v>
      </c>
      <c r="F22" s="543">
        <f>Overview!J22</f>
        <v>1.3317773296586788E-2</v>
      </c>
      <c r="G22" s="544">
        <f>Overview!K22</f>
        <v>1.7748332631610644</v>
      </c>
      <c r="H22" s="262"/>
      <c r="I22" s="262"/>
      <c r="J22" s="262"/>
      <c r="K22" s="262"/>
      <c r="L22" s="262"/>
      <c r="M22" s="262"/>
    </row>
    <row r="23" spans="1:13" x14ac:dyDescent="0.25">
      <c r="A23" s="531" t="s">
        <v>431</v>
      </c>
      <c r="B23" s="532"/>
      <c r="C23" s="542">
        <f>Overview!G23</f>
        <v>1.0113642318620919</v>
      </c>
      <c r="D23" s="361">
        <f>Overview!H23</f>
        <v>1.1700000000000002</v>
      </c>
      <c r="E23" s="361">
        <f>Overview!I23</f>
        <v>-0.15863576813790825</v>
      </c>
      <c r="F23" s="543">
        <f>Overview!J23</f>
        <v>-0.13558612661359681</v>
      </c>
      <c r="G23" s="544">
        <f>Overview!K23</f>
        <v>2.0576508286011714</v>
      </c>
      <c r="H23" s="262"/>
      <c r="I23" s="262"/>
      <c r="J23" s="262"/>
      <c r="K23" s="262"/>
      <c r="L23" s="262"/>
      <c r="M23" s="262"/>
    </row>
    <row r="24" spans="1:13" x14ac:dyDescent="0.25">
      <c r="A24" s="531" t="s">
        <v>432</v>
      </c>
      <c r="B24" s="532"/>
      <c r="C24" s="542">
        <f>Overview!G24</f>
        <v>0.42200693844561454</v>
      </c>
      <c r="D24" s="361">
        <f>Overview!H24</f>
        <v>0.48</v>
      </c>
      <c r="E24" s="361">
        <f>Overview!I24</f>
        <v>-5.7993061554385439E-2</v>
      </c>
      <c r="F24" s="543">
        <f>Overview!J24</f>
        <v>-0.12081887823830295</v>
      </c>
      <c r="G24" s="544">
        <f>Overview!K24</f>
        <v>0.58980940789595038</v>
      </c>
      <c r="H24" s="262"/>
      <c r="I24" s="262"/>
      <c r="J24" s="262"/>
      <c r="K24" s="262"/>
      <c r="L24" s="262"/>
      <c r="M24" s="262"/>
    </row>
    <row r="25" spans="1:13" x14ac:dyDescent="0.25">
      <c r="A25" s="531" t="s">
        <v>433</v>
      </c>
      <c r="B25" s="532"/>
      <c r="C25" s="542">
        <f>Overview!G25</f>
        <v>0.42200693844561454</v>
      </c>
      <c r="D25" s="361">
        <f>Overview!H25</f>
        <v>0.48</v>
      </c>
      <c r="E25" s="361">
        <f>Overview!I25</f>
        <v>-5.7993061554385439E-2</v>
      </c>
      <c r="F25" s="543">
        <f>Overview!J25</f>
        <v>-0.12081887823830295</v>
      </c>
      <c r="G25" s="544">
        <f>Overview!K25</f>
        <v>0.58980940789595038</v>
      </c>
      <c r="H25" s="262"/>
      <c r="I25" s="262"/>
      <c r="J25" s="262"/>
      <c r="K25" s="262"/>
      <c r="L25" s="262"/>
      <c r="M25" s="262"/>
    </row>
    <row r="26" spans="1:13" x14ac:dyDescent="0.25">
      <c r="A26" s="531" t="s">
        <v>434</v>
      </c>
      <c r="B26" s="532"/>
      <c r="C26" s="542">
        <f>Overview!G26</f>
        <v>3.1372318261262331</v>
      </c>
      <c r="D26" s="361">
        <f>Overview!H26</f>
        <v>2.99</v>
      </c>
      <c r="E26" s="361">
        <f>Overview!I26</f>
        <v>0.14723182612623287</v>
      </c>
      <c r="F26" s="543">
        <f>Overview!J26</f>
        <v>4.9241413420144875E-2</v>
      </c>
      <c r="G26" s="544">
        <f>Overview!K26</f>
        <v>1.597349936844958</v>
      </c>
      <c r="H26" s="262"/>
      <c r="I26" s="262"/>
      <c r="J26" s="262"/>
      <c r="K26" s="262"/>
      <c r="L26" s="262"/>
      <c r="M26" s="262"/>
    </row>
    <row r="27" spans="1:13" x14ac:dyDescent="0.25">
      <c r="A27" s="531" t="s">
        <v>435</v>
      </c>
      <c r="B27" s="532"/>
      <c r="C27" s="542">
        <f>Overview!G27</f>
        <v>0.14000000000000001</v>
      </c>
      <c r="D27" s="361">
        <f>Overview!H27</f>
        <v>0.14000000000000001</v>
      </c>
      <c r="E27" s="361">
        <f>Overview!I27</f>
        <v>0</v>
      </c>
      <c r="F27" s="543">
        <f>Overview!J27</f>
        <v>0</v>
      </c>
      <c r="G27" s="544" t="str">
        <f>Overview!K27</f>
        <v>n.a.</v>
      </c>
      <c r="H27" s="262"/>
      <c r="I27" s="262"/>
      <c r="J27" s="262"/>
      <c r="K27" s="262"/>
      <c r="L27" s="262"/>
      <c r="M27" s="262"/>
    </row>
    <row r="28" spans="1:13" x14ac:dyDescent="0.25">
      <c r="A28" s="531" t="s">
        <v>436</v>
      </c>
      <c r="B28" s="532"/>
      <c r="C28" s="542">
        <f>Overview!G28</f>
        <v>0.14000000000000001</v>
      </c>
      <c r="D28" s="361">
        <f>Overview!H28</f>
        <v>0.14000000000000001</v>
      </c>
      <c r="E28" s="361">
        <f>Overview!I28</f>
        <v>0</v>
      </c>
      <c r="F28" s="543">
        <f>Overview!J28</f>
        <v>0</v>
      </c>
      <c r="G28" s="544" t="str">
        <f>Overview!K28</f>
        <v>n.a.</v>
      </c>
      <c r="H28" s="262"/>
      <c r="I28" s="262"/>
      <c r="J28" s="262"/>
      <c r="K28" s="262"/>
      <c r="L28" s="262"/>
      <c r="M28" s="262"/>
    </row>
    <row r="29" spans="1:13" x14ac:dyDescent="0.25">
      <c r="A29" s="531" t="s">
        <v>437</v>
      </c>
      <c r="B29" s="532"/>
      <c r="C29" s="542">
        <f>Overview!G29</f>
        <v>0.42820626615681318</v>
      </c>
      <c r="D29" s="361">
        <f>Overview!H29</f>
        <v>0.4</v>
      </c>
      <c r="E29" s="361">
        <f>Overview!I29</f>
        <v>2.8206266156813153E-2</v>
      </c>
      <c r="F29" s="543">
        <f>Overview!J29</f>
        <v>7.0515665392032911E-2</v>
      </c>
      <c r="G29" s="544">
        <f>Overview!K29</f>
        <v>0.41543113486441718</v>
      </c>
      <c r="H29" s="262"/>
      <c r="I29" s="262"/>
      <c r="J29" s="262"/>
      <c r="K29" s="262"/>
      <c r="L29" s="262"/>
      <c r="M29" s="262"/>
    </row>
    <row r="30" spans="1:13" x14ac:dyDescent="0.25">
      <c r="A30" s="531" t="s">
        <v>438</v>
      </c>
      <c r="B30" s="532"/>
      <c r="C30" s="542">
        <f>Overview!G30</f>
        <v>0</v>
      </c>
      <c r="D30" s="361">
        <f>Overview!H30</f>
        <v>0</v>
      </c>
      <c r="E30" s="361">
        <f>Overview!I30</f>
        <v>0</v>
      </c>
      <c r="F30" s="543" t="str">
        <f>Overview!J30</f>
        <v/>
      </c>
      <c r="G30" s="544" t="str">
        <f>Overview!K30</f>
        <v>n.a.</v>
      </c>
      <c r="H30" s="262"/>
      <c r="I30" s="262"/>
      <c r="J30" s="262"/>
      <c r="K30" s="262"/>
      <c r="L30" s="262"/>
      <c r="M30" s="262"/>
    </row>
    <row r="31" spans="1:13" x14ac:dyDescent="0.25">
      <c r="A31" s="531" t="s">
        <v>439</v>
      </c>
      <c r="B31" s="532"/>
      <c r="C31" s="542">
        <f>Overview!G31</f>
        <v>0</v>
      </c>
      <c r="D31" s="361">
        <f>Overview!H31</f>
        <v>0</v>
      </c>
      <c r="E31" s="361">
        <f>Overview!I31</f>
        <v>0</v>
      </c>
      <c r="F31" s="543" t="str">
        <f>Overview!J31</f>
        <v/>
      </c>
      <c r="G31" s="544" t="str">
        <f>Overview!K31</f>
        <v>n.a.</v>
      </c>
      <c r="H31" s="262"/>
      <c r="I31" s="262"/>
      <c r="J31" s="262"/>
      <c r="K31" s="262"/>
      <c r="L31" s="262"/>
      <c r="M31" s="262"/>
    </row>
    <row r="32" spans="1:13" ht="15.75" thickBot="1" x14ac:dyDescent="0.3">
      <c r="A32" s="545" t="s">
        <v>440</v>
      </c>
      <c r="B32" s="546"/>
      <c r="C32" s="547">
        <f>Overview!G32</f>
        <v>0.42820626615681318</v>
      </c>
      <c r="D32" s="362">
        <f>Overview!H32</f>
        <v>0.4</v>
      </c>
      <c r="E32" s="362">
        <f>Overview!I32</f>
        <v>2.8206266156813153E-2</v>
      </c>
      <c r="F32" s="548">
        <f>Overview!J32</f>
        <v>7.0515665392032911E-2</v>
      </c>
      <c r="G32" s="549">
        <f>Overview!K32</f>
        <v>0.41543113486441718</v>
      </c>
      <c r="H32" s="262"/>
      <c r="I32" s="262"/>
      <c r="J32" s="262"/>
      <c r="K32" s="262"/>
      <c r="L32" s="262"/>
      <c r="M32" s="262"/>
    </row>
    <row r="33" spans="1:13" x14ac:dyDescent="0.25">
      <c r="A33" s="518"/>
      <c r="B33" s="518"/>
      <c r="C33" s="518"/>
      <c r="D33" s="518"/>
      <c r="H33" s="262"/>
      <c r="I33" s="262"/>
      <c r="J33" s="262"/>
      <c r="K33" s="262"/>
      <c r="L33" s="262"/>
      <c r="M33" s="262"/>
    </row>
    <row r="34" spans="1:13" ht="18.75" x14ac:dyDescent="0.3">
      <c r="A34" s="521" t="s">
        <v>441</v>
      </c>
      <c r="B34" s="522"/>
      <c r="C34" s="518"/>
      <c r="D34" s="523"/>
      <c r="E34" s="523"/>
      <c r="F34" s="523"/>
      <c r="G34" s="523"/>
      <c r="H34" s="262"/>
      <c r="I34" s="262"/>
      <c r="J34" s="262"/>
      <c r="K34" s="262"/>
      <c r="L34" s="262"/>
      <c r="M34" s="262"/>
    </row>
    <row r="35" spans="1:13" ht="15.75" thickBot="1" x14ac:dyDescent="0.3">
      <c r="A35" s="3"/>
      <c r="B35" s="3"/>
      <c r="C35" s="524"/>
      <c r="D35" s="525"/>
      <c r="E35" s="525"/>
      <c r="F35" s="3"/>
      <c r="G35" s="525"/>
      <c r="H35" s="262"/>
      <c r="I35" s="262"/>
      <c r="J35" s="262"/>
      <c r="K35" s="262"/>
      <c r="L35" s="262"/>
      <c r="M35" s="262"/>
    </row>
    <row r="36" spans="1:13" ht="16.5" x14ac:dyDescent="0.3">
      <c r="A36" s="526"/>
      <c r="B36" s="527"/>
      <c r="C36" s="528" t="s">
        <v>137</v>
      </c>
      <c r="D36" s="528" t="s">
        <v>1</v>
      </c>
      <c r="E36" s="529" t="s">
        <v>303</v>
      </c>
      <c r="F36" s="529" t="s">
        <v>305</v>
      </c>
      <c r="G36" s="530" t="s">
        <v>203</v>
      </c>
      <c r="H36" s="262"/>
      <c r="I36" s="262"/>
      <c r="J36" s="262"/>
      <c r="K36" s="262"/>
      <c r="L36" s="262"/>
      <c r="M36" s="262"/>
    </row>
    <row r="37" spans="1:13" ht="16.5" x14ac:dyDescent="0.3">
      <c r="A37" s="531" t="s">
        <v>426</v>
      </c>
      <c r="B37" s="532"/>
      <c r="C37" s="533" t="s">
        <v>427</v>
      </c>
      <c r="D37" s="533" t="s">
        <v>428</v>
      </c>
      <c r="E37" s="534" t="s">
        <v>304</v>
      </c>
      <c r="F37" s="534" t="s">
        <v>304</v>
      </c>
      <c r="G37" s="535" t="s">
        <v>204</v>
      </c>
      <c r="H37" s="262"/>
      <c r="I37" s="262"/>
      <c r="J37" s="262"/>
      <c r="K37" s="262"/>
      <c r="L37" s="262"/>
      <c r="M37" s="262"/>
    </row>
    <row r="38" spans="1:13" ht="16.5" thickBot="1" x14ac:dyDescent="0.35">
      <c r="A38" s="531"/>
      <c r="B38" s="532"/>
      <c r="C38" s="536" t="s">
        <v>131</v>
      </c>
      <c r="D38" s="536" t="s">
        <v>131</v>
      </c>
      <c r="E38" s="537" t="s">
        <v>131</v>
      </c>
      <c r="F38" s="537"/>
      <c r="G38" s="94" t="s">
        <v>131</v>
      </c>
      <c r="H38" s="262"/>
      <c r="I38" s="262"/>
      <c r="J38" s="262"/>
      <c r="K38" s="262"/>
      <c r="L38" s="262"/>
      <c r="M38" s="262"/>
    </row>
    <row r="39" spans="1:13" x14ac:dyDescent="0.25">
      <c r="A39" s="531" t="s">
        <v>3</v>
      </c>
      <c r="B39" s="532"/>
      <c r="C39" s="538">
        <f>Overview!G46</f>
        <v>0.84700000000000009</v>
      </c>
      <c r="D39" s="550">
        <f>Overview!H46</f>
        <v>0.77</v>
      </c>
      <c r="E39" s="550">
        <f>Overview!I46</f>
        <v>7.7000000000000068E-2</v>
      </c>
      <c r="F39" s="551">
        <f>Overview!J46</f>
        <v>0.10000000000000009</v>
      </c>
      <c r="G39" s="552">
        <f>Overview!K46</f>
        <v>2.2862786984457464</v>
      </c>
      <c r="H39" s="262"/>
      <c r="I39" s="262"/>
      <c r="J39" s="262"/>
      <c r="K39" s="262"/>
      <c r="L39" s="262"/>
      <c r="M39" s="262"/>
    </row>
    <row r="40" spans="1:13" x14ac:dyDescent="0.25">
      <c r="A40" s="531" t="s">
        <v>37</v>
      </c>
      <c r="B40" s="532"/>
      <c r="C40" s="542">
        <f>Overview!G47</f>
        <v>1.1237380354023243</v>
      </c>
      <c r="D40" s="90">
        <f>Overview!H47</f>
        <v>1.3</v>
      </c>
      <c r="E40" s="90">
        <f>Overview!I47</f>
        <v>-0.17626196459767574</v>
      </c>
      <c r="F40" s="363">
        <f>Overview!J47</f>
        <v>-0.1355861266135967</v>
      </c>
      <c r="G40" s="553">
        <f>Overview!K47</f>
        <v>2.2862786984457464</v>
      </c>
      <c r="H40" s="262"/>
      <c r="I40" s="262"/>
      <c r="J40" s="262"/>
      <c r="K40" s="262"/>
      <c r="L40" s="262"/>
      <c r="M40" s="262"/>
    </row>
    <row r="41" spans="1:13" x14ac:dyDescent="0.25">
      <c r="A41" s="531" t="s">
        <v>39</v>
      </c>
      <c r="B41" s="532"/>
      <c r="C41" s="542">
        <f>Overview!G48</f>
        <v>4.8879944380763094</v>
      </c>
      <c r="D41" s="90">
        <f>Overview!H48</f>
        <v>4.63</v>
      </c>
      <c r="E41" s="90">
        <f>Overview!I48</f>
        <v>0.25799443807630951</v>
      </c>
      <c r="F41" s="363">
        <f>Overview!J48</f>
        <v>5.5722340837215834E-2</v>
      </c>
      <c r="G41" s="553">
        <f>Overview!K48</f>
        <v>3.2683981283207926</v>
      </c>
      <c r="H41" s="262"/>
      <c r="I41" s="262"/>
      <c r="J41" s="262"/>
      <c r="K41" s="262"/>
      <c r="L41" s="262"/>
      <c r="M41" s="262"/>
    </row>
    <row r="42" spans="1:13" x14ac:dyDescent="0.25">
      <c r="A42" s="531" t="s">
        <v>24</v>
      </c>
      <c r="B42" s="532"/>
      <c r="C42" s="542">
        <f>Overview!G49</f>
        <v>0.46889659827290503</v>
      </c>
      <c r="D42" s="90">
        <f>Overview!H49</f>
        <v>0.53</v>
      </c>
      <c r="E42" s="90">
        <f>Overview!I49</f>
        <v>-6.1103401727094997E-2</v>
      </c>
      <c r="F42" s="363">
        <f>Overview!J49</f>
        <v>-0.11528943722093399</v>
      </c>
      <c r="G42" s="553">
        <f>Overview!K49</f>
        <v>0.65534378655105607</v>
      </c>
      <c r="H42" s="262"/>
      <c r="I42" s="262"/>
      <c r="J42" s="262"/>
      <c r="K42" s="262"/>
      <c r="L42" s="262"/>
      <c r="M42" s="262"/>
    </row>
    <row r="43" spans="1:13" x14ac:dyDescent="0.25">
      <c r="A43" s="531" t="s">
        <v>442</v>
      </c>
      <c r="B43" s="532"/>
      <c r="C43" s="542">
        <f>Overview!G50</f>
        <v>4.3319370289883787</v>
      </c>
      <c r="D43" s="90">
        <f>Overview!H50</f>
        <v>4.2</v>
      </c>
      <c r="E43" s="90">
        <f>Overview!I50</f>
        <v>0.13193702898837856</v>
      </c>
      <c r="F43" s="363">
        <f>Overview!J50</f>
        <v>3.1413578330566239E-2</v>
      </c>
      <c r="G43" s="553">
        <f>Overview!K50</f>
        <v>2.9255929000719569</v>
      </c>
      <c r="H43" s="262"/>
      <c r="I43" s="262"/>
      <c r="J43" s="262"/>
      <c r="K43" s="262"/>
      <c r="L43" s="262"/>
      <c r="M43" s="262"/>
    </row>
    <row r="44" spans="1:13" ht="15.75" thickBot="1" x14ac:dyDescent="0.3">
      <c r="A44" s="545" t="s">
        <v>443</v>
      </c>
      <c r="B44" s="546"/>
      <c r="C44" s="547">
        <f>Overview!G51</f>
        <v>0.68200000000000005</v>
      </c>
      <c r="D44" s="101">
        <f>Overview!H51</f>
        <v>0.62</v>
      </c>
      <c r="E44" s="101">
        <f>Overview!I51</f>
        <v>6.2000000000000055E-2</v>
      </c>
      <c r="F44" s="364">
        <f>Overview!J51</f>
        <v>0.10000000000000009</v>
      </c>
      <c r="G44" s="554">
        <f>Overview!K51</f>
        <v>2.0576508286011714</v>
      </c>
      <c r="H44" s="262"/>
      <c r="I44" s="262"/>
      <c r="J44" s="262"/>
      <c r="K44" s="262"/>
      <c r="L44" s="262"/>
      <c r="M44" s="262"/>
    </row>
    <row r="45" spans="1:13" x14ac:dyDescent="0.25">
      <c r="A45" s="518"/>
      <c r="B45" s="518"/>
      <c r="C45" s="518"/>
      <c r="D45" s="518"/>
      <c r="H45" s="262"/>
      <c r="I45" s="262"/>
      <c r="J45" s="262"/>
      <c r="K45" s="262"/>
      <c r="L45" s="262"/>
      <c r="M45" s="262"/>
    </row>
    <row r="46" spans="1:13" ht="18.75" x14ac:dyDescent="0.3">
      <c r="A46" s="521" t="s">
        <v>444</v>
      </c>
      <c r="B46" s="522"/>
      <c r="C46" s="518"/>
      <c r="D46" s="518"/>
      <c r="H46" s="262"/>
      <c r="I46" s="262"/>
      <c r="J46" s="262"/>
      <c r="K46" s="262"/>
      <c r="L46" s="262"/>
      <c r="M46" s="262"/>
    </row>
    <row r="47" spans="1:13" ht="15.75" thickBot="1" x14ac:dyDescent="0.3">
      <c r="H47" s="262"/>
      <c r="I47" s="262"/>
      <c r="J47" s="262"/>
      <c r="K47" s="262"/>
      <c r="L47" s="262"/>
      <c r="M47" s="262"/>
    </row>
    <row r="48" spans="1:13" ht="15.75" thickBot="1" x14ac:dyDescent="0.3">
      <c r="A48" s="593" t="s">
        <v>445</v>
      </c>
      <c r="B48" s="594"/>
      <c r="C48" s="595"/>
      <c r="D48" s="555">
        <f>Overview!C15</f>
        <v>0.19110510981826498</v>
      </c>
      <c r="H48" s="262"/>
      <c r="I48" s="262"/>
      <c r="J48" s="262"/>
      <c r="K48" s="262"/>
      <c r="L48" s="262"/>
      <c r="M48" s="262"/>
    </row>
    <row r="49" spans="1:13" ht="15.75" thickBot="1" x14ac:dyDescent="0.3">
      <c r="A49" s="556" t="s">
        <v>177</v>
      </c>
      <c r="B49" s="557"/>
      <c r="C49" s="558"/>
      <c r="D49" s="559">
        <f>Overview!C22</f>
        <v>1.62355438404614E-2</v>
      </c>
      <c r="H49" s="262"/>
      <c r="I49" s="262"/>
      <c r="J49" s="262"/>
      <c r="K49" s="262"/>
      <c r="L49" s="262"/>
      <c r="M49" s="262"/>
    </row>
    <row r="50" spans="1:13" ht="15.75" thickBot="1" x14ac:dyDescent="0.3">
      <c r="A50" s="556" t="s">
        <v>134</v>
      </c>
      <c r="B50" s="557"/>
      <c r="C50" s="558"/>
      <c r="D50" s="564">
        <f>Overview!C16</f>
        <v>431000000</v>
      </c>
      <c r="H50" s="262"/>
      <c r="I50" s="262"/>
      <c r="J50" s="262"/>
      <c r="K50" s="262"/>
      <c r="L50" s="262"/>
      <c r="M50" s="262"/>
    </row>
    <row r="51" spans="1:13" ht="15.75" thickBot="1" x14ac:dyDescent="0.3">
      <c r="A51" s="556" t="s">
        <v>334</v>
      </c>
      <c r="B51" s="557"/>
      <c r="C51" s="558"/>
      <c r="D51" s="565">
        <f>Overview!C23</f>
        <v>6.4835990226538839E-2</v>
      </c>
      <c r="H51" s="262"/>
      <c r="I51" s="262"/>
      <c r="J51" s="262"/>
      <c r="K51" s="262"/>
      <c r="L51" s="262"/>
      <c r="M51" s="262"/>
    </row>
    <row r="52" spans="1:13" x14ac:dyDescent="0.25">
      <c r="H52" s="262"/>
      <c r="I52" s="262"/>
      <c r="J52" s="262"/>
      <c r="K52" s="262"/>
      <c r="L52" s="262"/>
      <c r="M52" s="262"/>
    </row>
    <row r="53" spans="1:13" x14ac:dyDescent="0.25">
      <c r="H53" s="262"/>
      <c r="I53" s="262"/>
      <c r="J53" s="262"/>
      <c r="K53" s="262"/>
      <c r="L53" s="262"/>
      <c r="M53" s="262"/>
    </row>
    <row r="54" spans="1:13" x14ac:dyDescent="0.25">
      <c r="H54" s="262"/>
      <c r="I54" s="262"/>
      <c r="J54" s="262"/>
      <c r="K54" s="262"/>
      <c r="L54" s="262"/>
      <c r="M54" s="262"/>
    </row>
    <row r="55" spans="1:13" x14ac:dyDescent="0.25">
      <c r="H55" s="262"/>
      <c r="I55" s="262"/>
      <c r="J55" s="262"/>
      <c r="K55" s="262"/>
      <c r="L55" s="262"/>
      <c r="M55" s="262"/>
    </row>
    <row r="56" spans="1:13" x14ac:dyDescent="0.25">
      <c r="H56" s="262"/>
      <c r="I56" s="262"/>
      <c r="J56" s="262"/>
      <c r="K56" s="262"/>
      <c r="L56" s="262"/>
      <c r="M56" s="262"/>
    </row>
    <row r="57" spans="1:13" x14ac:dyDescent="0.25">
      <c r="H57" s="262"/>
      <c r="I57" s="262"/>
      <c r="J57" s="262"/>
      <c r="K57" s="262"/>
      <c r="L57" s="262"/>
      <c r="M57" s="262"/>
    </row>
    <row r="58" spans="1:13" x14ac:dyDescent="0.25">
      <c r="H58" s="262"/>
      <c r="I58" s="262"/>
      <c r="J58" s="262"/>
      <c r="K58" s="262"/>
      <c r="L58" s="262"/>
      <c r="M58" s="262"/>
    </row>
  </sheetData>
  <sheetProtection algorithmName="SHA-512" hashValue="/OCXXoVWYXAIPuxL4M9+w64SkiynAgqkLOePaJN+1IBYUrNKLGr+LkxGLfRbFKJgbA1cd6urclGRI/jMDSBLlA==" saltValue="WfFjEZR76dKAPotE8uD8Eg==" spinCount="100000" sheet="1" objects="1" scenarios="1" selectLockedCells="1"/>
  <mergeCells count="1">
    <mergeCell ref="A48:C48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6">
    <tabColor rgb="FFFFFF00"/>
  </sheetPr>
  <dimension ref="A1:A4"/>
  <sheetViews>
    <sheetView workbookViewId="0">
      <selection activeCell="G21" sqref="G21"/>
    </sheetView>
  </sheetViews>
  <sheetFormatPr baseColWidth="10" defaultColWidth="11.42578125" defaultRowHeight="15" x14ac:dyDescent="0.25"/>
  <cols>
    <col min="1" max="1" width="39.5703125" bestFit="1" customWidth="1"/>
    <col min="2" max="2" width="7.5703125" bestFit="1" customWidth="1"/>
    <col min="3" max="3" width="21.5703125" bestFit="1" customWidth="1"/>
    <col min="4" max="4" width="15.140625" bestFit="1" customWidth="1"/>
    <col min="5" max="5" width="18.42578125" bestFit="1" customWidth="1"/>
    <col min="6" max="6" width="25" bestFit="1" customWidth="1"/>
    <col min="7" max="7" width="17" bestFit="1" customWidth="1"/>
    <col min="8" max="8" width="13" bestFit="1" customWidth="1"/>
  </cols>
  <sheetData>
    <row r="1" spans="1:1" x14ac:dyDescent="0.25">
      <c r="A1" s="43"/>
    </row>
    <row r="2" spans="1:1" x14ac:dyDescent="0.25">
      <c r="A2" s="43"/>
    </row>
    <row r="3" spans="1:1" x14ac:dyDescent="0.25">
      <c r="A3" s="43"/>
    </row>
    <row r="4" spans="1:1" x14ac:dyDescent="0.25">
      <c r="A4" s="43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F29B5-63E9-4689-8E71-AEAE067EC648}">
  <dimension ref="A1:C13"/>
  <sheetViews>
    <sheetView workbookViewId="0">
      <selection activeCell="C5" sqref="C5"/>
    </sheetView>
  </sheetViews>
  <sheetFormatPr baseColWidth="10" defaultColWidth="10.85546875" defaultRowHeight="15" x14ac:dyDescent="0.25"/>
  <cols>
    <col min="1" max="1" width="5.85546875" style="567" customWidth="1"/>
    <col min="2" max="2" width="32.5703125" style="567" bestFit="1" customWidth="1"/>
    <col min="3" max="3" width="12.42578125" style="567" customWidth="1"/>
    <col min="4" max="16384" width="10.85546875" style="567"/>
  </cols>
  <sheetData>
    <row r="1" spans="1:3" x14ac:dyDescent="0.25">
      <c r="A1" s="566"/>
      <c r="B1" s="567" t="s">
        <v>423</v>
      </c>
      <c r="C1" s="568"/>
    </row>
    <row r="2" spans="1:3" x14ac:dyDescent="0.25">
      <c r="A2" s="569"/>
      <c r="B2" s="567" t="s">
        <v>424</v>
      </c>
      <c r="C2" s="568"/>
    </row>
    <row r="3" spans="1:3" ht="15.75" thickBot="1" x14ac:dyDescent="0.3">
      <c r="A3" s="570"/>
      <c r="C3" s="571"/>
    </row>
    <row r="4" spans="1:3" x14ac:dyDescent="0.25">
      <c r="A4" s="617" t="s">
        <v>292</v>
      </c>
      <c r="B4" s="618"/>
      <c r="C4" s="572">
        <f>C5+C6</f>
        <v>138000000</v>
      </c>
    </row>
    <row r="5" spans="1:3" x14ac:dyDescent="0.25">
      <c r="A5" s="619" t="s">
        <v>293</v>
      </c>
      <c r="B5" s="620"/>
      <c r="C5" s="560">
        <v>11000000</v>
      </c>
    </row>
    <row r="6" spans="1:3" x14ac:dyDescent="0.25">
      <c r="A6" s="619" t="s">
        <v>294</v>
      </c>
      <c r="B6" s="620"/>
      <c r="C6" s="560">
        <v>127000000</v>
      </c>
    </row>
    <row r="7" spans="1:3" x14ac:dyDescent="0.25">
      <c r="A7" s="619" t="s">
        <v>295</v>
      </c>
      <c r="B7" s="620"/>
      <c r="C7" s="573">
        <f>C8+C9</f>
        <v>293000000</v>
      </c>
    </row>
    <row r="8" spans="1:3" x14ac:dyDescent="0.25">
      <c r="A8" s="619" t="s">
        <v>296</v>
      </c>
      <c r="B8" s="620"/>
      <c r="C8" s="560">
        <v>80000000</v>
      </c>
    </row>
    <row r="9" spans="1:3" ht="15.75" thickBot="1" x14ac:dyDescent="0.3">
      <c r="A9" s="615" t="s">
        <v>297</v>
      </c>
      <c r="B9" s="616"/>
      <c r="C9" s="576">
        <v>213000000</v>
      </c>
    </row>
    <row r="12" spans="1:3" x14ac:dyDescent="0.25">
      <c r="B12" s="574"/>
      <c r="C12" s="575"/>
    </row>
    <row r="13" spans="1:3" x14ac:dyDescent="0.25">
      <c r="B13" s="574"/>
      <c r="C13" s="575"/>
    </row>
  </sheetData>
  <sheetProtection algorithmName="SHA-512" hashValue="105bIGXvM+7fkgz72CDwsjfBMiq4vr9sLxroJqWmqXuinsI5MhF23HFe20rb/To0iQEPyZzRiInPaH1apL/gbw==" saltValue="FGSjB4j+GQzZIpIeH21PTA==" spinCount="100000" sheet="1" objects="1" scenarios="1" selectLockedCells="1"/>
  <mergeCells count="6">
    <mergeCell ref="A9:B9"/>
    <mergeCell ref="A4:B4"/>
    <mergeCell ref="A5:B5"/>
    <mergeCell ref="A6:B6"/>
    <mergeCell ref="A7:B7"/>
    <mergeCell ref="A8:B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Costs">
    <tabColor rgb="FFFFFF99"/>
  </sheetPr>
  <dimension ref="A1:D26"/>
  <sheetViews>
    <sheetView zoomScale="115" zoomScaleNormal="115" workbookViewId="0">
      <selection activeCell="C3" sqref="C3"/>
    </sheetView>
  </sheetViews>
  <sheetFormatPr baseColWidth="10" defaultColWidth="11.42578125" defaultRowHeight="15" x14ac:dyDescent="0.25"/>
  <cols>
    <col min="1" max="1" width="13.85546875" customWidth="1"/>
    <col min="2" max="2" width="32.5703125" bestFit="1" customWidth="1"/>
    <col min="3" max="3" width="22.5703125" customWidth="1"/>
  </cols>
  <sheetData>
    <row r="1" spans="1:4" x14ac:dyDescent="0.25">
      <c r="A1" s="29"/>
      <c r="B1" s="43"/>
      <c r="C1" s="43"/>
    </row>
    <row r="2" spans="1:4" ht="16.5" x14ac:dyDescent="0.3">
      <c r="B2" s="504" t="s">
        <v>292</v>
      </c>
      <c r="C2" s="505">
        <f>C3+C4</f>
        <v>138000000</v>
      </c>
    </row>
    <row r="3" spans="1:4" ht="16.5" x14ac:dyDescent="0.3">
      <c r="A3" s="262"/>
      <c r="B3" s="504" t="s">
        <v>293</v>
      </c>
      <c r="C3" s="505">
        <f>Costs!C5</f>
        <v>11000000</v>
      </c>
    </row>
    <row r="4" spans="1:4" s="262" customFormat="1" ht="16.5" x14ac:dyDescent="0.3">
      <c r="B4" s="504" t="s">
        <v>294</v>
      </c>
      <c r="C4" s="505">
        <f>Costs!C6</f>
        <v>127000000</v>
      </c>
    </row>
    <row r="5" spans="1:4" x14ac:dyDescent="0.25">
      <c r="A5" s="262"/>
      <c r="B5" s="262"/>
      <c r="C5" s="262"/>
    </row>
    <row r="6" spans="1:4" ht="16.5" x14ac:dyDescent="0.3">
      <c r="A6" s="262"/>
      <c r="B6" s="504" t="s">
        <v>295</v>
      </c>
      <c r="C6" s="505">
        <f>C7+C8</f>
        <v>293000000</v>
      </c>
    </row>
    <row r="7" spans="1:4" ht="16.5" x14ac:dyDescent="0.3">
      <c r="A7" s="262"/>
      <c r="B7" s="504" t="s">
        <v>296</v>
      </c>
      <c r="C7" s="505">
        <f>Costs!C8</f>
        <v>80000000</v>
      </c>
    </row>
    <row r="8" spans="1:4" s="262" customFormat="1" ht="16.5" x14ac:dyDescent="0.3">
      <c r="B8" s="504" t="s">
        <v>297</v>
      </c>
      <c r="C8" s="505">
        <f>Costs!C9</f>
        <v>213000000</v>
      </c>
    </row>
    <row r="11" spans="1:4" x14ac:dyDescent="0.25">
      <c r="A11" s="262"/>
      <c r="B11" s="262"/>
      <c r="C11" s="262"/>
      <c r="D11" s="262"/>
    </row>
    <row r="12" spans="1:4" x14ac:dyDescent="0.25">
      <c r="A12" s="262"/>
      <c r="B12" s="262"/>
      <c r="C12" s="262"/>
      <c r="D12" s="262"/>
    </row>
    <row r="13" spans="1:4" x14ac:dyDescent="0.25">
      <c r="A13" s="262"/>
      <c r="B13" s="262"/>
      <c r="C13" s="262"/>
      <c r="D13" s="262"/>
    </row>
    <row r="14" spans="1:4" x14ac:dyDescent="0.25">
      <c r="A14" s="262"/>
      <c r="B14" s="262"/>
      <c r="C14" s="262"/>
      <c r="D14" s="262"/>
    </row>
    <row r="15" spans="1:4" x14ac:dyDescent="0.25">
      <c r="A15" s="262"/>
      <c r="B15" s="262"/>
      <c r="C15" s="262"/>
      <c r="D15" s="262"/>
    </row>
    <row r="16" spans="1:4" x14ac:dyDescent="0.25">
      <c r="A16" s="262"/>
      <c r="B16" s="262"/>
      <c r="C16" s="262"/>
      <c r="D16" s="262"/>
    </row>
    <row r="17" spans="1:4" x14ac:dyDescent="0.25">
      <c r="A17" s="262"/>
      <c r="B17" s="262"/>
      <c r="C17" s="262"/>
      <c r="D17" s="262"/>
    </row>
    <row r="18" spans="1:4" x14ac:dyDescent="0.25">
      <c r="A18" s="262"/>
      <c r="B18" s="262"/>
      <c r="C18" s="262"/>
      <c r="D18" s="262"/>
    </row>
    <row r="19" spans="1:4" x14ac:dyDescent="0.25">
      <c r="A19" s="262"/>
      <c r="B19" s="262"/>
      <c r="C19" s="262"/>
      <c r="D19" s="262"/>
    </row>
    <row r="20" spans="1:4" x14ac:dyDescent="0.25">
      <c r="A20" s="262"/>
      <c r="B20" s="262"/>
      <c r="C20" s="262"/>
      <c r="D20" s="262"/>
    </row>
    <row r="21" spans="1:4" x14ac:dyDescent="0.25">
      <c r="A21" s="262"/>
      <c r="B21" s="262"/>
      <c r="C21" s="262"/>
      <c r="D21" s="262"/>
    </row>
    <row r="22" spans="1:4" x14ac:dyDescent="0.25">
      <c r="A22" s="262"/>
      <c r="B22" s="262"/>
      <c r="C22" s="262"/>
      <c r="D22" s="262"/>
    </row>
    <row r="23" spans="1:4" x14ac:dyDescent="0.25">
      <c r="A23" s="262"/>
      <c r="B23" s="262"/>
      <c r="C23" s="262"/>
      <c r="D23" s="262"/>
    </row>
    <row r="24" spans="1:4" x14ac:dyDescent="0.25">
      <c r="A24" s="262"/>
      <c r="B24" s="262"/>
      <c r="C24" s="262"/>
      <c r="D24" s="262"/>
    </row>
    <row r="25" spans="1:4" x14ac:dyDescent="0.25">
      <c r="A25" s="262"/>
      <c r="B25" s="262"/>
      <c r="C25" s="262"/>
      <c r="D25" s="262"/>
    </row>
    <row r="26" spans="1:4" x14ac:dyDescent="0.25">
      <c r="A26" s="262"/>
      <c r="B26" s="262"/>
      <c r="C26" s="262"/>
      <c r="D26" s="26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5C895-2326-4964-B435-B638991B1C67}">
  <sheetPr>
    <tabColor theme="0" tint="-0.14999847407452621"/>
  </sheetPr>
  <dimension ref="A1:G34"/>
  <sheetViews>
    <sheetView workbookViewId="0">
      <selection activeCell="F5" sqref="F5"/>
    </sheetView>
  </sheetViews>
  <sheetFormatPr baseColWidth="10" defaultColWidth="10.85546875" defaultRowHeight="15" x14ac:dyDescent="0.25"/>
  <cols>
    <col min="1" max="1" width="5.85546875" style="567" customWidth="1"/>
    <col min="2" max="2" width="8.5703125" style="567" bestFit="1" customWidth="1"/>
    <col min="3" max="3" width="6" style="567" customWidth="1"/>
    <col min="4" max="4" width="12.85546875" style="567" customWidth="1"/>
    <col min="5" max="5" width="17.5703125" style="567" customWidth="1"/>
    <col min="6" max="6" width="12.42578125" style="567" customWidth="1"/>
    <col min="7" max="16384" width="10.85546875" style="567"/>
  </cols>
  <sheetData>
    <row r="1" spans="1:7" x14ac:dyDescent="0.25">
      <c r="A1" s="566"/>
      <c r="B1" s="567" t="s">
        <v>423</v>
      </c>
    </row>
    <row r="2" spans="1:7" x14ac:dyDescent="0.25">
      <c r="A2" s="569"/>
      <c r="B2" s="567" t="s">
        <v>424</v>
      </c>
    </row>
    <row r="3" spans="1:7" ht="15.75" thickBot="1" x14ac:dyDescent="0.3">
      <c r="A3" s="570"/>
    </row>
    <row r="4" spans="1:7" ht="45.75" thickBot="1" x14ac:dyDescent="0.3">
      <c r="A4" s="577" t="s">
        <v>65</v>
      </c>
      <c r="B4" s="578" t="s">
        <v>66</v>
      </c>
      <c r="C4" s="578" t="s">
        <v>67</v>
      </c>
      <c r="D4" s="578" t="s">
        <v>50</v>
      </c>
      <c r="E4" s="578" t="s">
        <v>68</v>
      </c>
      <c r="F4" s="579" t="s">
        <v>446</v>
      </c>
    </row>
    <row r="5" spans="1:7" x14ac:dyDescent="0.25">
      <c r="A5" s="580" t="s">
        <v>0</v>
      </c>
      <c r="B5" s="581" t="s">
        <v>57</v>
      </c>
      <c r="C5" s="581" t="s">
        <v>70</v>
      </c>
      <c r="D5" s="581" t="s">
        <v>85</v>
      </c>
      <c r="E5" s="582" t="s">
        <v>58</v>
      </c>
      <c r="F5" s="561">
        <v>18523204.5</v>
      </c>
      <c r="G5" s="583"/>
    </row>
    <row r="6" spans="1:7" x14ac:dyDescent="0.25">
      <c r="A6" s="584" t="s">
        <v>0</v>
      </c>
      <c r="B6" s="585" t="s">
        <v>57</v>
      </c>
      <c r="C6" s="585" t="s">
        <v>70</v>
      </c>
      <c r="D6" s="585" t="s">
        <v>85</v>
      </c>
      <c r="E6" s="586" t="s">
        <v>59</v>
      </c>
      <c r="F6" s="562">
        <v>10319273.196481112</v>
      </c>
      <c r="G6" s="583"/>
    </row>
    <row r="7" spans="1:7" x14ac:dyDescent="0.25">
      <c r="A7" s="584" t="s">
        <v>0</v>
      </c>
      <c r="B7" s="585" t="s">
        <v>57</v>
      </c>
      <c r="C7" s="585" t="s">
        <v>70</v>
      </c>
      <c r="D7" s="585" t="s">
        <v>85</v>
      </c>
      <c r="E7" s="586" t="s">
        <v>60</v>
      </c>
      <c r="F7" s="562">
        <v>2311811.2280670945</v>
      </c>
      <c r="G7" s="583"/>
    </row>
    <row r="8" spans="1:7" x14ac:dyDescent="0.25">
      <c r="A8" s="584" t="s">
        <v>0</v>
      </c>
      <c r="B8" s="585" t="s">
        <v>57</v>
      </c>
      <c r="C8" s="585" t="s">
        <v>70</v>
      </c>
      <c r="D8" s="585" t="s">
        <v>85</v>
      </c>
      <c r="E8" s="586" t="s">
        <v>96</v>
      </c>
      <c r="F8" s="562">
        <v>0</v>
      </c>
      <c r="G8" s="583"/>
    </row>
    <row r="9" spans="1:7" x14ac:dyDescent="0.25">
      <c r="A9" s="584" t="s">
        <v>0</v>
      </c>
      <c r="B9" s="585" t="s">
        <v>57</v>
      </c>
      <c r="C9" s="585" t="s">
        <v>70</v>
      </c>
      <c r="D9" s="585" t="s">
        <v>85</v>
      </c>
      <c r="E9" s="586" t="s">
        <v>73</v>
      </c>
      <c r="F9" s="562">
        <v>0</v>
      </c>
      <c r="G9" s="583"/>
    </row>
    <row r="10" spans="1:7" x14ac:dyDescent="0.25">
      <c r="A10" s="584" t="s">
        <v>0</v>
      </c>
      <c r="B10" s="585" t="s">
        <v>57</v>
      </c>
      <c r="C10" s="585" t="s">
        <v>70</v>
      </c>
      <c r="D10" s="585" t="s">
        <v>85</v>
      </c>
      <c r="E10" s="586" t="s">
        <v>74</v>
      </c>
      <c r="F10" s="562">
        <v>0</v>
      </c>
      <c r="G10" s="583"/>
    </row>
    <row r="11" spans="1:7" x14ac:dyDescent="0.25">
      <c r="A11" s="584" t="s">
        <v>0</v>
      </c>
      <c r="B11" s="587" t="s">
        <v>69</v>
      </c>
      <c r="C11" s="585" t="s">
        <v>70</v>
      </c>
      <c r="D11" s="585" t="s">
        <v>77</v>
      </c>
      <c r="E11" s="586" t="s">
        <v>58</v>
      </c>
      <c r="F11" s="562">
        <v>7932724.7715542139</v>
      </c>
      <c r="G11" s="583"/>
    </row>
    <row r="12" spans="1:7" x14ac:dyDescent="0.25">
      <c r="A12" s="584" t="s">
        <v>0</v>
      </c>
      <c r="B12" s="587" t="s">
        <v>69</v>
      </c>
      <c r="C12" s="585" t="s">
        <v>70</v>
      </c>
      <c r="D12" s="585" t="s">
        <v>78</v>
      </c>
      <c r="E12" s="586" t="s">
        <v>59</v>
      </c>
      <c r="F12" s="562">
        <v>14873464.00429618</v>
      </c>
      <c r="G12" s="583"/>
    </row>
    <row r="13" spans="1:7" x14ac:dyDescent="0.25">
      <c r="A13" s="584" t="s">
        <v>0</v>
      </c>
      <c r="B13" s="587" t="s">
        <v>69</v>
      </c>
      <c r="C13" s="585" t="s">
        <v>70</v>
      </c>
      <c r="D13" s="585" t="s">
        <v>79</v>
      </c>
      <c r="E13" s="586" t="s">
        <v>73</v>
      </c>
      <c r="F13" s="562">
        <v>1810849.9747649301</v>
      </c>
      <c r="G13" s="583"/>
    </row>
    <row r="14" spans="1:7" x14ac:dyDescent="0.25">
      <c r="A14" s="584" t="s">
        <v>0</v>
      </c>
      <c r="B14" s="587" t="s">
        <v>69</v>
      </c>
      <c r="C14" s="585" t="s">
        <v>70</v>
      </c>
      <c r="D14" s="585" t="s">
        <v>77</v>
      </c>
      <c r="E14" s="586" t="s">
        <v>96</v>
      </c>
      <c r="F14" s="562">
        <v>6415166.2901679594</v>
      </c>
      <c r="G14" s="583"/>
    </row>
    <row r="15" spans="1:7" x14ac:dyDescent="0.25">
      <c r="A15" s="584" t="s">
        <v>0</v>
      </c>
      <c r="B15" s="587" t="s">
        <v>69</v>
      </c>
      <c r="C15" s="585" t="s">
        <v>70</v>
      </c>
      <c r="D15" s="585" t="s">
        <v>77</v>
      </c>
      <c r="E15" s="586" t="s">
        <v>74</v>
      </c>
      <c r="F15" s="562">
        <v>0</v>
      </c>
      <c r="G15" s="583"/>
    </row>
    <row r="16" spans="1:7" x14ac:dyDescent="0.25">
      <c r="A16" s="584" t="s">
        <v>0</v>
      </c>
      <c r="B16" s="587" t="s">
        <v>69</v>
      </c>
      <c r="C16" s="585" t="s">
        <v>70</v>
      </c>
      <c r="D16" s="585" t="s">
        <v>80</v>
      </c>
      <c r="E16" s="586" t="s">
        <v>75</v>
      </c>
      <c r="F16" s="562">
        <v>21422795</v>
      </c>
      <c r="G16" s="583"/>
    </row>
    <row r="17" spans="1:7" x14ac:dyDescent="0.25">
      <c r="A17" s="584" t="s">
        <v>0</v>
      </c>
      <c r="B17" s="585" t="s">
        <v>57</v>
      </c>
      <c r="C17" s="585" t="s">
        <v>70</v>
      </c>
      <c r="D17" s="585" t="s">
        <v>85</v>
      </c>
      <c r="E17" s="586" t="s">
        <v>75</v>
      </c>
      <c r="F17" s="562">
        <v>10848000</v>
      </c>
      <c r="G17" s="583"/>
    </row>
    <row r="18" spans="1:7" x14ac:dyDescent="0.25">
      <c r="A18" s="584" t="s">
        <v>0</v>
      </c>
      <c r="B18" s="587" t="s">
        <v>69</v>
      </c>
      <c r="C18" s="585" t="s">
        <v>70</v>
      </c>
      <c r="D18" s="585" t="s">
        <v>78</v>
      </c>
      <c r="E18" s="586" t="s">
        <v>60</v>
      </c>
      <c r="F18" s="562">
        <v>0</v>
      </c>
      <c r="G18" s="583"/>
    </row>
    <row r="19" spans="1:7" x14ac:dyDescent="0.25">
      <c r="A19" s="584" t="s">
        <v>0</v>
      </c>
      <c r="B19" s="585" t="s">
        <v>57</v>
      </c>
      <c r="C19" s="588" t="s">
        <v>71</v>
      </c>
      <c r="D19" s="585" t="s">
        <v>85</v>
      </c>
      <c r="E19" s="586" t="s">
        <v>60</v>
      </c>
      <c r="F19" s="562">
        <v>3357000</v>
      </c>
      <c r="G19" s="583"/>
    </row>
    <row r="20" spans="1:7" x14ac:dyDescent="0.25">
      <c r="A20" s="584" t="s">
        <v>0</v>
      </c>
      <c r="B20" s="587" t="s">
        <v>69</v>
      </c>
      <c r="C20" s="588" t="s">
        <v>71</v>
      </c>
      <c r="D20" s="585" t="s">
        <v>80</v>
      </c>
      <c r="E20" s="586" t="s">
        <v>75</v>
      </c>
      <c r="F20" s="562">
        <v>4635629</v>
      </c>
      <c r="G20" s="583"/>
    </row>
    <row r="21" spans="1:7" x14ac:dyDescent="0.25">
      <c r="A21" s="584" t="s">
        <v>0</v>
      </c>
      <c r="B21" s="587" t="s">
        <v>69</v>
      </c>
      <c r="C21" s="588" t="s">
        <v>71</v>
      </c>
      <c r="D21" s="585" t="s">
        <v>80</v>
      </c>
      <c r="E21" s="586" t="s">
        <v>75</v>
      </c>
      <c r="F21" s="562">
        <v>2378663</v>
      </c>
      <c r="G21" s="583"/>
    </row>
    <row r="22" spans="1:7" x14ac:dyDescent="0.25">
      <c r="A22" s="584" t="s">
        <v>0</v>
      </c>
      <c r="B22" s="587" t="s">
        <v>69</v>
      </c>
      <c r="C22" s="588" t="s">
        <v>71</v>
      </c>
      <c r="D22" s="585" t="s">
        <v>78</v>
      </c>
      <c r="E22" s="586" t="s">
        <v>60</v>
      </c>
      <c r="F22" s="562">
        <v>6431372.0000000019</v>
      </c>
      <c r="G22" s="583"/>
    </row>
    <row r="23" spans="1:7" x14ac:dyDescent="0.25">
      <c r="A23" s="584" t="s">
        <v>0</v>
      </c>
      <c r="B23" s="585" t="s">
        <v>57</v>
      </c>
      <c r="C23" s="587" t="s">
        <v>72</v>
      </c>
      <c r="D23" s="585" t="s">
        <v>81</v>
      </c>
      <c r="E23" s="586" t="s">
        <v>60</v>
      </c>
      <c r="F23" s="562">
        <v>0</v>
      </c>
      <c r="G23" s="583"/>
    </row>
    <row r="24" spans="1:7" x14ac:dyDescent="0.25">
      <c r="A24" s="584" t="s">
        <v>0</v>
      </c>
      <c r="B24" s="585" t="s">
        <v>57</v>
      </c>
      <c r="C24" s="587" t="s">
        <v>72</v>
      </c>
      <c r="D24" s="585" t="s">
        <v>81</v>
      </c>
      <c r="E24" s="586" t="s">
        <v>60</v>
      </c>
      <c r="F24" s="562">
        <v>0</v>
      </c>
      <c r="G24" s="583"/>
    </row>
    <row r="25" spans="1:7" x14ac:dyDescent="0.25">
      <c r="A25" s="584" t="s">
        <v>0</v>
      </c>
      <c r="B25" s="587" t="s">
        <v>69</v>
      </c>
      <c r="C25" s="585" t="s">
        <v>70</v>
      </c>
      <c r="D25" s="585" t="s">
        <v>82</v>
      </c>
      <c r="E25" s="586" t="s">
        <v>125</v>
      </c>
      <c r="F25" s="562">
        <v>1765899.9999999998</v>
      </c>
      <c r="G25" s="583"/>
    </row>
    <row r="26" spans="1:7" x14ac:dyDescent="0.25">
      <c r="A26" s="584" t="s">
        <v>0</v>
      </c>
      <c r="B26" s="585" t="s">
        <v>57</v>
      </c>
      <c r="C26" s="585" t="s">
        <v>70</v>
      </c>
      <c r="D26" s="585" t="s">
        <v>85</v>
      </c>
      <c r="E26" s="586" t="s">
        <v>125</v>
      </c>
      <c r="F26" s="562">
        <v>1765899.9999999998</v>
      </c>
      <c r="G26" s="583"/>
    </row>
    <row r="27" spans="1:7" x14ac:dyDescent="0.25">
      <c r="A27" s="584" t="s">
        <v>0</v>
      </c>
      <c r="B27" s="585" t="s">
        <v>57</v>
      </c>
      <c r="C27" s="585" t="s">
        <v>70</v>
      </c>
      <c r="D27" s="585" t="s">
        <v>85</v>
      </c>
      <c r="E27" s="586" t="s">
        <v>61</v>
      </c>
      <c r="F27" s="562">
        <v>6663038</v>
      </c>
      <c r="G27" s="583"/>
    </row>
    <row r="28" spans="1:7" x14ac:dyDescent="0.25">
      <c r="A28" s="584" t="s">
        <v>0</v>
      </c>
      <c r="B28" s="587" t="s">
        <v>69</v>
      </c>
      <c r="C28" s="585" t="s">
        <v>70</v>
      </c>
      <c r="D28" s="585" t="s">
        <v>82</v>
      </c>
      <c r="E28" s="586" t="s">
        <v>61</v>
      </c>
      <c r="F28" s="562">
        <v>6663038</v>
      </c>
      <c r="G28" s="583"/>
    </row>
    <row r="29" spans="1:7" x14ac:dyDescent="0.25">
      <c r="A29" s="584" t="s">
        <v>36</v>
      </c>
      <c r="B29" s="585" t="s">
        <v>57</v>
      </c>
      <c r="C29" s="585" t="s">
        <v>70</v>
      </c>
      <c r="D29" s="585" t="s">
        <v>85</v>
      </c>
      <c r="E29" s="586" t="s">
        <v>58</v>
      </c>
      <c r="F29" s="562">
        <v>48765188</v>
      </c>
      <c r="G29" s="583"/>
    </row>
    <row r="30" spans="1:7" x14ac:dyDescent="0.25">
      <c r="A30" s="584" t="s">
        <v>36</v>
      </c>
      <c r="B30" s="585" t="s">
        <v>57</v>
      </c>
      <c r="C30" s="585" t="s">
        <v>70</v>
      </c>
      <c r="D30" s="585" t="s">
        <v>85</v>
      </c>
      <c r="E30" s="586" t="s">
        <v>56</v>
      </c>
      <c r="F30" s="562">
        <v>0</v>
      </c>
      <c r="G30" s="583"/>
    </row>
    <row r="31" spans="1:7" x14ac:dyDescent="0.25">
      <c r="A31" s="584" t="s">
        <v>36</v>
      </c>
      <c r="B31" s="587" t="s">
        <v>69</v>
      </c>
      <c r="C31" s="585" t="s">
        <v>70</v>
      </c>
      <c r="D31" s="585" t="s">
        <v>83</v>
      </c>
      <c r="E31" s="586" t="s">
        <v>56</v>
      </c>
      <c r="F31" s="562">
        <v>43571929</v>
      </c>
      <c r="G31" s="583"/>
    </row>
    <row r="32" spans="1:7" x14ac:dyDescent="0.25">
      <c r="A32" s="584" t="s">
        <v>36</v>
      </c>
      <c r="B32" s="587" t="s">
        <v>69</v>
      </c>
      <c r="C32" s="585" t="s">
        <v>70</v>
      </c>
      <c r="D32" s="585" t="s">
        <v>80</v>
      </c>
      <c r="E32" s="586" t="s">
        <v>75</v>
      </c>
      <c r="F32" s="562">
        <v>2957018</v>
      </c>
      <c r="G32" s="583"/>
    </row>
    <row r="33" spans="1:7" x14ac:dyDescent="0.25">
      <c r="A33" s="584" t="s">
        <v>36</v>
      </c>
      <c r="B33" s="587" t="s">
        <v>69</v>
      </c>
      <c r="C33" s="585" t="s">
        <v>70</v>
      </c>
      <c r="D33" s="585" t="s">
        <v>84</v>
      </c>
      <c r="E33" s="586" t="s">
        <v>76</v>
      </c>
      <c r="F33" s="562">
        <v>391653</v>
      </c>
      <c r="G33" s="583"/>
    </row>
    <row r="34" spans="1:7" ht="15.75" thickBot="1" x14ac:dyDescent="0.3">
      <c r="A34" s="589" t="s">
        <v>36</v>
      </c>
      <c r="B34" s="590" t="s">
        <v>57</v>
      </c>
      <c r="C34" s="591" t="s">
        <v>71</v>
      </c>
      <c r="D34" s="590" t="s">
        <v>85</v>
      </c>
      <c r="E34" s="592" t="s">
        <v>56</v>
      </c>
      <c r="F34" s="563">
        <v>521331</v>
      </c>
      <c r="G34" s="583"/>
    </row>
  </sheetData>
  <sheetProtection algorithmName="SHA-512" hashValue="TQfKptewiuBAeqGuByrvcU8gQ6VgLaOksqVrzW9Vkgd/VA+8NZPIJdBvzpMqG1Xqd3udqQR5U/MkM8ZSZOZkgw==" saltValue="XElYxhPMwjQa0+z/gshoeQ==" spinCount="100000" sheet="1" objects="1" scenarios="1" selectLockedCell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9">
    <tabColor rgb="FFFFFF99"/>
  </sheetPr>
  <dimension ref="A1:N38"/>
  <sheetViews>
    <sheetView zoomScaleNormal="100" workbookViewId="0">
      <selection activeCell="F5" sqref="F5"/>
    </sheetView>
  </sheetViews>
  <sheetFormatPr baseColWidth="10" defaultColWidth="11.42578125" defaultRowHeight="15" outlineLevelCol="1" x14ac:dyDescent="0.25"/>
  <cols>
    <col min="1" max="2" width="9.42578125" customWidth="1"/>
    <col min="3" max="3" width="9.140625" customWidth="1"/>
    <col min="4" max="4" width="15.5703125" bestFit="1" customWidth="1"/>
    <col min="5" max="5" width="18" bestFit="1" customWidth="1"/>
    <col min="6" max="6" width="10.85546875" style="52"/>
    <col min="7" max="8" width="12.140625" hidden="1" customWidth="1" outlineLevel="1"/>
    <col min="9" max="10" width="7.85546875" hidden="1" customWidth="1" outlineLevel="1"/>
    <col min="11" max="11" width="11.5703125" collapsed="1"/>
    <col min="13" max="13" width="28.85546875" bestFit="1" customWidth="1"/>
    <col min="14" max="14" width="11.42578125" style="114"/>
    <col min="15" max="15" width="17.5703125" customWidth="1"/>
  </cols>
  <sheetData>
    <row r="1" spans="1:14" x14ac:dyDescent="0.25">
      <c r="A1" s="291"/>
    </row>
    <row r="2" spans="1:14" x14ac:dyDescent="0.25">
      <c r="G2" s="109"/>
      <c r="H2" s="109"/>
      <c r="I2" s="109"/>
    </row>
    <row r="3" spans="1:14" x14ac:dyDescent="0.25">
      <c r="F3" s="383" t="s">
        <v>144</v>
      </c>
      <c r="G3" s="110" t="s">
        <v>127</v>
      </c>
      <c r="H3" s="110" t="s">
        <v>127</v>
      </c>
      <c r="I3" s="109"/>
    </row>
    <row r="4" spans="1:14" ht="60" x14ac:dyDescent="0.25">
      <c r="A4" s="47" t="s">
        <v>65</v>
      </c>
      <c r="B4" s="47" t="s">
        <v>66</v>
      </c>
      <c r="C4" s="47" t="s">
        <v>67</v>
      </c>
      <c r="D4" s="47" t="s">
        <v>50</v>
      </c>
      <c r="E4" s="47" t="s">
        <v>68</v>
      </c>
      <c r="F4" s="385" t="s">
        <v>332</v>
      </c>
      <c r="G4" s="111" t="s">
        <v>332</v>
      </c>
      <c r="H4" s="111" t="s">
        <v>146</v>
      </c>
      <c r="I4" s="111" t="s">
        <v>145</v>
      </c>
      <c r="J4" s="74"/>
    </row>
    <row r="5" spans="1:14" x14ac:dyDescent="0.25">
      <c r="A5" s="43" t="s">
        <v>0</v>
      </c>
      <c r="B5" t="s">
        <v>57</v>
      </c>
      <c r="C5" t="s">
        <v>70</v>
      </c>
      <c r="D5" t="s">
        <v>85</v>
      </c>
      <c r="E5" t="s">
        <v>58</v>
      </c>
      <c r="F5" s="506">
        <f>'Forecasted contracted capacity'!F5</f>
        <v>18523204.5</v>
      </c>
      <c r="G5" s="112">
        <f>F5/1000/GCV</f>
        <v>1655.3355227882039</v>
      </c>
      <c r="H5" s="112">
        <f>'Reference VO 2017'!F5</f>
        <v>2165.1669999999999</v>
      </c>
      <c r="I5" s="113">
        <f>IFERROR(G5/H5-1,"")</f>
        <v>-0.23546981697568647</v>
      </c>
      <c r="J5" s="108"/>
      <c r="L5" s="262"/>
      <c r="M5" s="262"/>
      <c r="N5" s="262"/>
    </row>
    <row r="6" spans="1:14" x14ac:dyDescent="0.25">
      <c r="A6" s="43" t="s">
        <v>0</v>
      </c>
      <c r="B6" t="s">
        <v>57</v>
      </c>
      <c r="C6" t="s">
        <v>70</v>
      </c>
      <c r="D6" t="s">
        <v>85</v>
      </c>
      <c r="E6" t="s">
        <v>59</v>
      </c>
      <c r="F6" s="506">
        <f>'Forecasted contracted capacity'!F6</f>
        <v>10319273.196481112</v>
      </c>
      <c r="G6" s="112">
        <f t="shared" ref="G6:G34" si="0">F6/1000/GCV</f>
        <v>922.18705956042118</v>
      </c>
      <c r="H6" s="112">
        <f>'Reference VO 2017'!F6</f>
        <v>862.4670000000001</v>
      </c>
      <c r="I6" s="113">
        <f t="shared" ref="I6:I33" si="1">IFERROR(G6/H6-1,"")</f>
        <v>6.9243298074501469E-2</v>
      </c>
      <c r="J6" s="108"/>
      <c r="K6" s="262"/>
      <c r="L6" s="262"/>
      <c r="M6" s="262"/>
      <c r="N6" s="262"/>
    </row>
    <row r="7" spans="1:14" x14ac:dyDescent="0.25">
      <c r="A7" s="43" t="s">
        <v>0</v>
      </c>
      <c r="B7" t="s">
        <v>57</v>
      </c>
      <c r="C7" t="s">
        <v>70</v>
      </c>
      <c r="D7" t="s">
        <v>85</v>
      </c>
      <c r="E7" t="s">
        <v>60</v>
      </c>
      <c r="F7" s="506">
        <f>'Forecasted contracted capacity'!F7</f>
        <v>2311811.2280670945</v>
      </c>
      <c r="G7" s="112">
        <f t="shared" si="0"/>
        <v>206.59617766461969</v>
      </c>
      <c r="H7" s="112">
        <f>'Reference VO 2017'!F7</f>
        <v>124.5</v>
      </c>
      <c r="I7" s="113">
        <f t="shared" si="1"/>
        <v>0.6594070495150175</v>
      </c>
      <c r="J7" s="108"/>
      <c r="K7" s="262"/>
      <c r="L7" s="262"/>
      <c r="M7" s="262"/>
      <c r="N7" s="262"/>
    </row>
    <row r="8" spans="1:14" x14ac:dyDescent="0.25">
      <c r="A8" s="43" t="s">
        <v>0</v>
      </c>
      <c r="B8" t="s">
        <v>57</v>
      </c>
      <c r="C8" t="s">
        <v>70</v>
      </c>
      <c r="D8" t="s">
        <v>85</v>
      </c>
      <c r="E8" s="60" t="s">
        <v>96</v>
      </c>
      <c r="F8" s="506">
        <f>'Forecasted contracted capacity'!F8</f>
        <v>0</v>
      </c>
      <c r="G8" s="112">
        <f t="shared" si="0"/>
        <v>0</v>
      </c>
      <c r="H8" s="112">
        <f>'Reference VO 2017'!F8</f>
        <v>0</v>
      </c>
      <c r="I8" s="113" t="str">
        <f t="shared" si="1"/>
        <v/>
      </c>
      <c r="J8" s="108"/>
      <c r="K8" s="262"/>
      <c r="L8" s="262"/>
      <c r="M8" s="262"/>
      <c r="N8" s="262"/>
    </row>
    <row r="9" spans="1:14" x14ac:dyDescent="0.25">
      <c r="A9" s="43" t="s">
        <v>0</v>
      </c>
      <c r="B9" t="s">
        <v>57</v>
      </c>
      <c r="C9" t="s">
        <v>70</v>
      </c>
      <c r="D9" t="s">
        <v>85</v>
      </c>
      <c r="E9" t="s">
        <v>73</v>
      </c>
      <c r="F9" s="506">
        <f>'Forecasted contracted capacity'!F9</f>
        <v>0</v>
      </c>
      <c r="G9" s="112">
        <f t="shared" si="0"/>
        <v>0</v>
      </c>
      <c r="H9" s="112">
        <f>'Reference VO 2017'!F9</f>
        <v>0</v>
      </c>
      <c r="I9" s="113" t="str">
        <f t="shared" si="1"/>
        <v/>
      </c>
      <c r="J9" s="108"/>
      <c r="K9" s="262"/>
      <c r="L9" s="262"/>
      <c r="M9" s="262"/>
      <c r="N9" s="262"/>
    </row>
    <row r="10" spans="1:14" x14ac:dyDescent="0.25">
      <c r="A10" s="43" t="s">
        <v>0</v>
      </c>
      <c r="B10" t="s">
        <v>57</v>
      </c>
      <c r="C10" t="s">
        <v>70</v>
      </c>
      <c r="D10" t="s">
        <v>85</v>
      </c>
      <c r="E10" t="s">
        <v>74</v>
      </c>
      <c r="F10" s="506">
        <f>'Forecasted contracted capacity'!F10</f>
        <v>0</v>
      </c>
      <c r="G10" s="112">
        <f t="shared" si="0"/>
        <v>0</v>
      </c>
      <c r="H10" s="112">
        <f>'Reference VO 2017'!F10</f>
        <v>0</v>
      </c>
      <c r="I10" s="113" t="str">
        <f t="shared" si="1"/>
        <v/>
      </c>
      <c r="J10" s="108"/>
      <c r="K10" s="262"/>
      <c r="L10" s="262"/>
      <c r="M10" s="262"/>
      <c r="N10" s="262"/>
    </row>
    <row r="11" spans="1:14" x14ac:dyDescent="0.25">
      <c r="A11" s="43" t="s">
        <v>0</v>
      </c>
      <c r="B11" s="29" t="s">
        <v>69</v>
      </c>
      <c r="C11" t="s">
        <v>70</v>
      </c>
      <c r="D11" t="s">
        <v>77</v>
      </c>
      <c r="E11" t="s">
        <v>58</v>
      </c>
      <c r="F11" s="506">
        <f>'Forecasted contracted capacity'!F11</f>
        <v>7932724.7715542139</v>
      </c>
      <c r="G11" s="112">
        <f t="shared" si="0"/>
        <v>708.91195456248568</v>
      </c>
      <c r="H11" s="112">
        <f>'Reference VO 2017'!F11</f>
        <v>485.83300000000003</v>
      </c>
      <c r="I11" s="113">
        <f t="shared" si="1"/>
        <v>0.45916797451487579</v>
      </c>
      <c r="J11" s="108"/>
      <c r="K11" s="262"/>
      <c r="L11" s="262"/>
      <c r="M11" s="262"/>
      <c r="N11" s="262"/>
    </row>
    <row r="12" spans="1:14" x14ac:dyDescent="0.25">
      <c r="A12" s="43" t="s">
        <v>0</v>
      </c>
      <c r="B12" s="29" t="s">
        <v>69</v>
      </c>
      <c r="C12" t="s">
        <v>70</v>
      </c>
      <c r="D12" t="s">
        <v>78</v>
      </c>
      <c r="E12" t="s">
        <v>59</v>
      </c>
      <c r="F12" s="506">
        <f>'Forecasted contracted capacity'!F12</f>
        <v>14873464.00429618</v>
      </c>
      <c r="G12" s="112">
        <f t="shared" si="0"/>
        <v>1329.1746205805346</v>
      </c>
      <c r="H12" s="112">
        <f>'Reference VO 2017'!F12</f>
        <v>1399.4929999999999</v>
      </c>
      <c r="I12" s="113">
        <f t="shared" si="1"/>
        <v>-5.0245609959796433E-2</v>
      </c>
      <c r="J12" s="108"/>
      <c r="K12" s="262"/>
      <c r="L12" s="262"/>
      <c r="M12" s="262"/>
      <c r="N12" s="262"/>
    </row>
    <row r="13" spans="1:14" x14ac:dyDescent="0.25">
      <c r="A13" s="43" t="s">
        <v>0</v>
      </c>
      <c r="B13" s="29" t="s">
        <v>69</v>
      </c>
      <c r="C13" t="s">
        <v>70</v>
      </c>
      <c r="D13" t="s">
        <v>79</v>
      </c>
      <c r="E13" t="s">
        <v>73</v>
      </c>
      <c r="F13" s="506">
        <f>'Forecasted contracted capacity'!F13</f>
        <v>1810849.9747649301</v>
      </c>
      <c r="G13" s="112">
        <f t="shared" si="0"/>
        <v>161.8275223203691</v>
      </c>
      <c r="H13" s="112">
        <f>'Reference VO 2017'!F13</f>
        <v>302.27199999999999</v>
      </c>
      <c r="I13" s="113">
        <f t="shared" si="1"/>
        <v>-0.464629465116289</v>
      </c>
      <c r="J13" s="108"/>
      <c r="K13" s="262"/>
      <c r="L13" s="262"/>
      <c r="M13" s="262"/>
      <c r="N13" s="262"/>
    </row>
    <row r="14" spans="1:14" x14ac:dyDescent="0.25">
      <c r="A14" s="43" t="s">
        <v>0</v>
      </c>
      <c r="B14" s="29" t="s">
        <v>69</v>
      </c>
      <c r="C14" t="s">
        <v>70</v>
      </c>
      <c r="D14" s="52" t="s">
        <v>77</v>
      </c>
      <c r="E14" s="60" t="s">
        <v>96</v>
      </c>
      <c r="F14" s="506">
        <f>'Forecasted contracted capacity'!F14</f>
        <v>6415166.2901679594</v>
      </c>
      <c r="G14" s="112">
        <f t="shared" si="0"/>
        <v>573.29457463520635</v>
      </c>
      <c r="H14" s="112">
        <f>'Reference VO 2017'!F14</f>
        <v>570</v>
      </c>
      <c r="I14" s="113">
        <f t="shared" si="1"/>
        <v>5.7799555003619218E-3</v>
      </c>
      <c r="J14" s="108"/>
      <c r="K14" s="262"/>
      <c r="L14" s="262"/>
      <c r="M14" s="262"/>
      <c r="N14" s="262"/>
    </row>
    <row r="15" spans="1:14" x14ac:dyDescent="0.25">
      <c r="A15" s="43" t="s">
        <v>0</v>
      </c>
      <c r="B15" s="29" t="s">
        <v>69</v>
      </c>
      <c r="C15" t="s">
        <v>70</v>
      </c>
      <c r="D15" t="s">
        <v>77</v>
      </c>
      <c r="E15" t="s">
        <v>74</v>
      </c>
      <c r="F15" s="506">
        <f>'Forecasted contracted capacity'!F15</f>
        <v>0</v>
      </c>
      <c r="G15" s="112">
        <f t="shared" si="0"/>
        <v>0</v>
      </c>
      <c r="H15" s="112">
        <f>'Reference VO 2017'!F15</f>
        <v>0</v>
      </c>
      <c r="I15" s="113" t="str">
        <f t="shared" si="1"/>
        <v/>
      </c>
      <c r="J15" s="108"/>
      <c r="K15" s="262"/>
      <c r="L15" s="262"/>
      <c r="M15" s="262"/>
      <c r="N15" s="262"/>
    </row>
    <row r="16" spans="1:14" x14ac:dyDescent="0.25">
      <c r="A16" s="43" t="s">
        <v>0</v>
      </c>
      <c r="B16" s="29" t="s">
        <v>69</v>
      </c>
      <c r="C16" t="s">
        <v>70</v>
      </c>
      <c r="D16" s="54" t="s">
        <v>80</v>
      </c>
      <c r="E16" t="s">
        <v>75</v>
      </c>
      <c r="F16" s="506">
        <f>'Forecasted contracted capacity'!F16</f>
        <v>21422795</v>
      </c>
      <c r="G16" s="112">
        <f t="shared" si="0"/>
        <v>1914.4588918677389</v>
      </c>
      <c r="H16" s="112">
        <f>'Reference VO 2017'!F16</f>
        <v>1914.4588918677391</v>
      </c>
      <c r="I16" s="113">
        <f t="shared" si="1"/>
        <v>-1.1102230246251565E-16</v>
      </c>
      <c r="J16" s="108"/>
      <c r="K16" s="262"/>
      <c r="L16" s="262"/>
      <c r="M16" s="262"/>
      <c r="N16" s="262"/>
    </row>
    <row r="17" spans="1:14" x14ac:dyDescent="0.25">
      <c r="A17" s="43" t="s">
        <v>0</v>
      </c>
      <c r="B17" t="s">
        <v>57</v>
      </c>
      <c r="C17" t="s">
        <v>70</v>
      </c>
      <c r="D17" t="s">
        <v>85</v>
      </c>
      <c r="E17" t="s">
        <v>75</v>
      </c>
      <c r="F17" s="506">
        <f>'Forecasted contracted capacity'!F17</f>
        <v>10848000</v>
      </c>
      <c r="G17" s="112">
        <f t="shared" si="0"/>
        <v>969.43699731903484</v>
      </c>
      <c r="H17" s="112">
        <f>'Reference VO 2017'!F17</f>
        <v>969.43699731903484</v>
      </c>
      <c r="I17" s="113">
        <f t="shared" si="1"/>
        <v>0</v>
      </c>
      <c r="J17" s="108"/>
      <c r="K17" s="262"/>
      <c r="L17" s="262"/>
      <c r="M17" s="262"/>
      <c r="N17" s="262"/>
    </row>
    <row r="18" spans="1:14" x14ac:dyDescent="0.25">
      <c r="A18" s="43" t="s">
        <v>0</v>
      </c>
      <c r="B18" s="29" t="s">
        <v>69</v>
      </c>
      <c r="C18" t="s">
        <v>70</v>
      </c>
      <c r="D18" t="s">
        <v>78</v>
      </c>
      <c r="E18" t="s">
        <v>60</v>
      </c>
      <c r="F18" s="506">
        <f>'Forecasted contracted capacity'!F18</f>
        <v>0</v>
      </c>
      <c r="G18" s="112">
        <f t="shared" si="0"/>
        <v>0</v>
      </c>
      <c r="H18" s="112">
        <f>'Reference VO 2017'!F18</f>
        <v>23.730000000000004</v>
      </c>
      <c r="I18" s="113">
        <f t="shared" si="1"/>
        <v>-1</v>
      </c>
      <c r="J18" s="108"/>
      <c r="K18" s="262"/>
      <c r="L18" s="262"/>
      <c r="M18" s="262"/>
      <c r="N18" s="262"/>
    </row>
    <row r="19" spans="1:14" x14ac:dyDescent="0.25">
      <c r="A19" s="43" t="s">
        <v>0</v>
      </c>
      <c r="B19" t="s">
        <v>57</v>
      </c>
      <c r="C19" s="43" t="s">
        <v>71</v>
      </c>
      <c r="D19" t="s">
        <v>85</v>
      </c>
      <c r="E19" t="s">
        <v>60</v>
      </c>
      <c r="F19" s="506">
        <f>'Forecasted contracted capacity'!F19</f>
        <v>3357000</v>
      </c>
      <c r="G19" s="112">
        <f t="shared" si="0"/>
        <v>300</v>
      </c>
      <c r="H19" s="112">
        <f>'Reference VO 2017'!F19</f>
        <v>300</v>
      </c>
      <c r="I19" s="113">
        <f t="shared" si="1"/>
        <v>0</v>
      </c>
      <c r="J19" s="108"/>
      <c r="K19" s="262"/>
      <c r="L19" s="262"/>
      <c r="M19" s="262"/>
      <c r="N19" s="262"/>
    </row>
    <row r="20" spans="1:14" x14ac:dyDescent="0.25">
      <c r="A20" s="43" t="s">
        <v>0</v>
      </c>
      <c r="B20" s="29" t="s">
        <v>69</v>
      </c>
      <c r="C20" s="43" t="s">
        <v>71</v>
      </c>
      <c r="D20" s="54" t="s">
        <v>80</v>
      </c>
      <c r="E20" t="s">
        <v>75</v>
      </c>
      <c r="F20" s="506">
        <f>'Forecasted contracted capacity'!F20</f>
        <v>4635629</v>
      </c>
      <c r="G20" s="112">
        <f t="shared" si="0"/>
        <v>414.26532618409294</v>
      </c>
      <c r="H20" s="112">
        <f>'Reference VO 2017'!F20</f>
        <v>414.26532618409294</v>
      </c>
      <c r="I20" s="113">
        <f t="shared" si="1"/>
        <v>0</v>
      </c>
      <c r="J20" s="108"/>
      <c r="K20" s="262"/>
      <c r="L20" s="262"/>
      <c r="M20" s="262"/>
      <c r="N20" s="262"/>
    </row>
    <row r="21" spans="1:14" x14ac:dyDescent="0.25">
      <c r="A21" s="43" t="s">
        <v>0</v>
      </c>
      <c r="B21" s="29" t="s">
        <v>69</v>
      </c>
      <c r="C21" s="43" t="s">
        <v>71</v>
      </c>
      <c r="D21" s="54" t="s">
        <v>80</v>
      </c>
      <c r="E21" t="s">
        <v>75</v>
      </c>
      <c r="F21" s="506">
        <f>'Forecasted contracted capacity'!F21</f>
        <v>2378663</v>
      </c>
      <c r="G21" s="112">
        <f t="shared" si="0"/>
        <v>212.57042001787312</v>
      </c>
      <c r="H21" s="112">
        <f>'Reference VO 2017'!F21</f>
        <v>212.57042001787312</v>
      </c>
      <c r="I21" s="113">
        <f t="shared" si="1"/>
        <v>0</v>
      </c>
      <c r="J21" s="108"/>
      <c r="K21" s="262"/>
      <c r="L21" s="262"/>
      <c r="M21" s="262"/>
      <c r="N21" s="262"/>
    </row>
    <row r="22" spans="1:14" x14ac:dyDescent="0.25">
      <c r="A22" s="43" t="s">
        <v>0</v>
      </c>
      <c r="B22" s="29" t="s">
        <v>69</v>
      </c>
      <c r="C22" s="43" t="s">
        <v>71</v>
      </c>
      <c r="D22" t="s">
        <v>78</v>
      </c>
      <c r="E22" t="s">
        <v>60</v>
      </c>
      <c r="F22" s="506">
        <f>'Forecasted contracted capacity'!F22</f>
        <v>6431372.0000000019</v>
      </c>
      <c r="G22" s="112">
        <f t="shared" si="0"/>
        <v>574.74280607685455</v>
      </c>
      <c r="H22" s="112">
        <f>'Reference VO 2017'!F22</f>
        <v>578.06200000000001</v>
      </c>
      <c r="I22" s="113">
        <f t="shared" si="1"/>
        <v>-5.7419341232349819E-3</v>
      </c>
      <c r="J22" s="108"/>
      <c r="K22" s="262"/>
      <c r="L22" s="262"/>
      <c r="M22" s="262"/>
      <c r="N22" s="262"/>
    </row>
    <row r="23" spans="1:14" x14ac:dyDescent="0.25">
      <c r="A23" s="43" t="s">
        <v>0</v>
      </c>
      <c r="B23" t="s">
        <v>57</v>
      </c>
      <c r="C23" s="29" t="s">
        <v>72</v>
      </c>
      <c r="D23" t="s">
        <v>81</v>
      </c>
      <c r="E23" t="s">
        <v>60</v>
      </c>
      <c r="F23" s="506">
        <f>'Forecasted contracted capacity'!F23</f>
        <v>0</v>
      </c>
      <c r="G23" s="112">
        <f t="shared" si="0"/>
        <v>0</v>
      </c>
      <c r="H23" s="112">
        <f>'Reference VO 2017'!F23</f>
        <v>0</v>
      </c>
      <c r="I23" s="113" t="str">
        <f t="shared" si="1"/>
        <v/>
      </c>
      <c r="J23" s="108"/>
      <c r="K23" s="262"/>
      <c r="L23" s="262"/>
      <c r="M23" s="262"/>
      <c r="N23" s="262"/>
    </row>
    <row r="24" spans="1:14" x14ac:dyDescent="0.25">
      <c r="A24" s="43" t="s">
        <v>0</v>
      </c>
      <c r="B24" t="s">
        <v>57</v>
      </c>
      <c r="C24" s="29" t="s">
        <v>72</v>
      </c>
      <c r="D24" t="s">
        <v>81</v>
      </c>
      <c r="E24" t="s">
        <v>60</v>
      </c>
      <c r="F24" s="506">
        <f>'Forecasted contracted capacity'!F24</f>
        <v>0</v>
      </c>
      <c r="G24" s="112">
        <f t="shared" si="0"/>
        <v>0</v>
      </c>
      <c r="H24" s="112">
        <f>'Reference VO 2017'!F24</f>
        <v>0</v>
      </c>
      <c r="I24" s="113" t="str">
        <f t="shared" si="1"/>
        <v/>
      </c>
      <c r="J24" s="108"/>
      <c r="K24" s="262"/>
      <c r="L24" s="262"/>
      <c r="M24" s="262"/>
      <c r="N24" s="262"/>
    </row>
    <row r="25" spans="1:14" x14ac:dyDescent="0.25">
      <c r="A25" s="43" t="s">
        <v>0</v>
      </c>
      <c r="B25" s="29" t="s">
        <v>69</v>
      </c>
      <c r="C25" t="s">
        <v>70</v>
      </c>
      <c r="D25" t="s">
        <v>82</v>
      </c>
      <c r="E25" t="s">
        <v>125</v>
      </c>
      <c r="F25" s="506">
        <f>'Forecasted contracted capacity'!F25</f>
        <v>1765899.9999999998</v>
      </c>
      <c r="G25" s="112">
        <f t="shared" si="0"/>
        <v>157.81054512957996</v>
      </c>
      <c r="H25" s="112">
        <f>'Reference VO 2017'!F25</f>
        <v>263.70196604110811</v>
      </c>
      <c r="I25" s="113">
        <f t="shared" si="1"/>
        <v>-0.40155719163284842</v>
      </c>
      <c r="J25" s="108"/>
      <c r="K25" s="262"/>
      <c r="L25" s="262"/>
      <c r="M25" s="262"/>
      <c r="N25" s="262"/>
    </row>
    <row r="26" spans="1:14" x14ac:dyDescent="0.25">
      <c r="A26" s="43" t="s">
        <v>0</v>
      </c>
      <c r="B26" t="s">
        <v>57</v>
      </c>
      <c r="C26" t="s">
        <v>70</v>
      </c>
      <c r="D26" t="s">
        <v>85</v>
      </c>
      <c r="E26" t="s">
        <v>125</v>
      </c>
      <c r="F26" s="506">
        <f>'Forecasted contracted capacity'!F26</f>
        <v>1765899.9999999998</v>
      </c>
      <c r="G26" s="112">
        <f t="shared" si="0"/>
        <v>157.81054512957996</v>
      </c>
      <c r="H26" s="112">
        <f>'Reference VO 2017'!F26</f>
        <v>263.70196604110811</v>
      </c>
      <c r="I26" s="113">
        <f t="shared" si="1"/>
        <v>-0.40155719163284842</v>
      </c>
      <c r="J26" s="108"/>
      <c r="K26" s="262"/>
      <c r="L26" s="262"/>
      <c r="M26" s="262"/>
      <c r="N26" s="262"/>
    </row>
    <row r="27" spans="1:14" x14ac:dyDescent="0.25">
      <c r="A27" s="43" t="s">
        <v>0</v>
      </c>
      <c r="B27" t="s">
        <v>57</v>
      </c>
      <c r="C27" t="s">
        <v>70</v>
      </c>
      <c r="D27" t="s">
        <v>85</v>
      </c>
      <c r="E27" t="s">
        <v>61</v>
      </c>
      <c r="F27" s="506">
        <f>'Forecasted contracted capacity'!F27</f>
        <v>6663038</v>
      </c>
      <c r="G27" s="112">
        <f t="shared" si="0"/>
        <v>595.44575513851657</v>
      </c>
      <c r="H27" s="112">
        <f>'Reference VO 2017'!F27</f>
        <v>513.79740840035743</v>
      </c>
      <c r="I27" s="113">
        <f t="shared" si="1"/>
        <v>0.15891155814187696</v>
      </c>
      <c r="J27" s="108"/>
      <c r="K27" s="262"/>
      <c r="L27" s="262"/>
      <c r="M27" s="262"/>
      <c r="N27" s="262"/>
    </row>
    <row r="28" spans="1:14" x14ac:dyDescent="0.25">
      <c r="A28" s="43" t="s">
        <v>0</v>
      </c>
      <c r="B28" s="29" t="s">
        <v>69</v>
      </c>
      <c r="C28" t="s">
        <v>70</v>
      </c>
      <c r="D28" t="s">
        <v>82</v>
      </c>
      <c r="E28" t="s">
        <v>61</v>
      </c>
      <c r="F28" s="506">
        <f>'Forecasted contracted capacity'!F28</f>
        <v>6663038</v>
      </c>
      <c r="G28" s="112">
        <f t="shared" si="0"/>
        <v>595.44575513851657</v>
      </c>
      <c r="H28" s="112">
        <f>'Reference VO 2017'!F28</f>
        <v>513.79740840035743</v>
      </c>
      <c r="I28" s="113">
        <f t="shared" si="1"/>
        <v>0.15891155814187696</v>
      </c>
      <c r="J28" s="108"/>
      <c r="K28" s="262"/>
      <c r="L28" s="262"/>
      <c r="M28" s="262"/>
      <c r="N28" s="262"/>
    </row>
    <row r="29" spans="1:14" x14ac:dyDescent="0.25">
      <c r="A29" s="43" t="s">
        <v>36</v>
      </c>
      <c r="B29" t="s">
        <v>57</v>
      </c>
      <c r="C29" t="s">
        <v>70</v>
      </c>
      <c r="D29" t="s">
        <v>85</v>
      </c>
      <c r="E29" t="s">
        <v>58</v>
      </c>
      <c r="F29" s="506">
        <f>'Forecasted contracted capacity'!F29</f>
        <v>48765188</v>
      </c>
      <c r="G29" s="112">
        <f t="shared" si="0"/>
        <v>4357.9256478999114</v>
      </c>
      <c r="H29" s="112">
        <f>'Reference VO 2017'!F29</f>
        <v>5151.366</v>
      </c>
      <c r="I29" s="113">
        <f t="shared" si="1"/>
        <v>-0.1540252337147251</v>
      </c>
      <c r="J29" s="108"/>
      <c r="K29" s="262"/>
      <c r="L29" s="262"/>
      <c r="M29" s="262"/>
      <c r="N29" s="262"/>
    </row>
    <row r="30" spans="1:14" x14ac:dyDescent="0.25">
      <c r="A30" s="43" t="s">
        <v>36</v>
      </c>
      <c r="B30" t="s">
        <v>57</v>
      </c>
      <c r="C30" t="s">
        <v>70</v>
      </c>
      <c r="D30" t="s">
        <v>85</v>
      </c>
      <c r="E30" t="s">
        <v>56</v>
      </c>
      <c r="F30" s="506">
        <f>'Forecasted contracted capacity'!F30</f>
        <v>0</v>
      </c>
      <c r="G30" s="112">
        <f t="shared" si="0"/>
        <v>0</v>
      </c>
      <c r="H30" s="112">
        <f>'Reference VO 2017'!F30</f>
        <v>0</v>
      </c>
      <c r="I30" s="113" t="str">
        <f t="shared" si="1"/>
        <v/>
      </c>
      <c r="J30" s="108"/>
      <c r="K30" s="262"/>
      <c r="L30" s="262"/>
      <c r="M30" s="262"/>
      <c r="N30" s="262"/>
    </row>
    <row r="31" spans="1:14" x14ac:dyDescent="0.25">
      <c r="A31" s="43" t="s">
        <v>36</v>
      </c>
      <c r="B31" s="29" t="s">
        <v>69</v>
      </c>
      <c r="C31" t="s">
        <v>70</v>
      </c>
      <c r="D31" t="s">
        <v>83</v>
      </c>
      <c r="E31" t="s">
        <v>56</v>
      </c>
      <c r="F31" s="506">
        <f>'Forecasted contracted capacity'!F31</f>
        <v>43571929</v>
      </c>
      <c r="G31" s="112">
        <f t="shared" si="0"/>
        <v>3893.8274352100088</v>
      </c>
      <c r="H31" s="112">
        <f>'Reference VO 2017'!F31</f>
        <v>4339.4900000000007</v>
      </c>
      <c r="I31" s="113">
        <f t="shared" si="1"/>
        <v>-0.10269929526050103</v>
      </c>
      <c r="J31" s="108"/>
      <c r="K31" s="262"/>
      <c r="L31" s="262"/>
      <c r="M31" s="262"/>
      <c r="N31" s="262"/>
    </row>
    <row r="32" spans="1:14" x14ac:dyDescent="0.25">
      <c r="A32" s="43" t="s">
        <v>36</v>
      </c>
      <c r="B32" s="29" t="s">
        <v>69</v>
      </c>
      <c r="C32" t="s">
        <v>70</v>
      </c>
      <c r="D32" s="54" t="s">
        <v>80</v>
      </c>
      <c r="E32" t="s">
        <v>75</v>
      </c>
      <c r="F32" s="506">
        <f>'Forecasted contracted capacity'!F32</f>
        <v>2957018</v>
      </c>
      <c r="G32" s="112">
        <f t="shared" si="0"/>
        <v>264.2554066130474</v>
      </c>
      <c r="H32" s="112">
        <f>'Reference VO 2017'!F32</f>
        <v>318.37998212689899</v>
      </c>
      <c r="I32" s="113">
        <f t="shared" si="1"/>
        <v>-0.16999993263483126</v>
      </c>
      <c r="J32" s="108"/>
      <c r="K32" s="262"/>
      <c r="L32" s="262"/>
      <c r="M32" s="262"/>
      <c r="N32" s="262"/>
    </row>
    <row r="33" spans="1:14" x14ac:dyDescent="0.25">
      <c r="A33" s="43" t="s">
        <v>36</v>
      </c>
      <c r="B33" s="29" t="s">
        <v>69</v>
      </c>
      <c r="C33" t="s">
        <v>70</v>
      </c>
      <c r="D33" s="54" t="s">
        <v>84</v>
      </c>
      <c r="E33" t="s">
        <v>76</v>
      </c>
      <c r="F33" s="506">
        <f>'Forecasted contracted capacity'!F33</f>
        <v>391653</v>
      </c>
      <c r="G33" s="112">
        <f t="shared" si="0"/>
        <v>35.000268096514752</v>
      </c>
      <c r="H33" s="112">
        <f>'Reference VO 2017'!F33</f>
        <v>42.168990169794462</v>
      </c>
      <c r="I33" s="113">
        <f t="shared" si="1"/>
        <v>-0.16999985165437148</v>
      </c>
      <c r="J33" s="108"/>
      <c r="K33" s="262"/>
      <c r="L33" s="262"/>
      <c r="M33" s="262"/>
      <c r="N33" s="262"/>
    </row>
    <row r="34" spans="1:14" x14ac:dyDescent="0.25">
      <c r="A34" s="43" t="s">
        <v>36</v>
      </c>
      <c r="B34" t="s">
        <v>57</v>
      </c>
      <c r="C34" s="43" t="s">
        <v>71</v>
      </c>
      <c r="D34" t="s">
        <v>85</v>
      </c>
      <c r="E34" t="s">
        <v>56</v>
      </c>
      <c r="F34" s="506">
        <f>'Forecasted contracted capacity'!F34</f>
        <v>521331</v>
      </c>
      <c r="G34" s="112">
        <f t="shared" si="0"/>
        <v>46.589008042895443</v>
      </c>
      <c r="H34" s="112">
        <f>'Reference VO 2017'!F34</f>
        <v>47.48299999999999</v>
      </c>
      <c r="I34" s="113">
        <f>IFERROR(G34/H34-1,"")</f>
        <v>-1.8827621614147083E-2</v>
      </c>
      <c r="J34" s="108"/>
      <c r="K34" s="262"/>
      <c r="L34" s="262"/>
      <c r="M34" s="262"/>
      <c r="N34" s="262"/>
    </row>
    <row r="37" spans="1:14" x14ac:dyDescent="0.25">
      <c r="I37" s="162"/>
    </row>
    <row r="38" spans="1:14" x14ac:dyDescent="0.25">
      <c r="G38" s="112"/>
      <c r="H38" s="112"/>
      <c r="I38" s="113"/>
    </row>
  </sheetData>
  <autoFilter ref="A4:F34" xr:uid="{00000000-0009-0000-0000-000009000000}"/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tabColor rgb="FFFFFF99"/>
  </sheetPr>
  <dimension ref="A3:W51"/>
  <sheetViews>
    <sheetView zoomScale="85" zoomScaleNormal="85" workbookViewId="0">
      <selection activeCell="F5" sqref="F5"/>
    </sheetView>
  </sheetViews>
  <sheetFormatPr baseColWidth="10" defaultColWidth="11.42578125" defaultRowHeight="15" x14ac:dyDescent="0.25"/>
  <cols>
    <col min="1" max="1" width="7.42578125" customWidth="1"/>
    <col min="2" max="2" width="9.5703125" customWidth="1"/>
    <col min="3" max="3" width="8.42578125" customWidth="1"/>
    <col min="4" max="4" width="17.42578125" bestFit="1" customWidth="1"/>
    <col min="5" max="5" width="11.5703125" style="52" customWidth="1"/>
    <col min="6" max="6" width="12.42578125" style="52" customWidth="1"/>
    <col min="7" max="8" width="14.140625" style="52" customWidth="1"/>
    <col min="9" max="9" width="3.85546875" customWidth="1"/>
    <col min="11" max="11" width="18" bestFit="1" customWidth="1"/>
    <col min="12" max="13" width="12.5703125" style="52" customWidth="1"/>
    <col min="14" max="16" width="10.85546875" style="52"/>
    <col min="17" max="17" width="12.5703125" style="52" bestFit="1" customWidth="1"/>
    <col min="21" max="21" width="18" customWidth="1"/>
  </cols>
  <sheetData>
    <row r="3" spans="1:23" x14ac:dyDescent="0.25">
      <c r="E3" s="382" t="s">
        <v>126</v>
      </c>
      <c r="F3" s="383" t="s">
        <v>127</v>
      </c>
      <c r="G3" s="382" t="s">
        <v>144</v>
      </c>
      <c r="H3" s="382" t="s">
        <v>144</v>
      </c>
      <c r="L3" s="387" t="s">
        <v>88</v>
      </c>
      <c r="M3" s="387" t="s">
        <v>87</v>
      </c>
      <c r="N3" s="382" t="s">
        <v>126</v>
      </c>
      <c r="O3" s="382" t="s">
        <v>126</v>
      </c>
      <c r="P3" s="382" t="s">
        <v>114</v>
      </c>
      <c r="Q3" s="382" t="s">
        <v>114</v>
      </c>
    </row>
    <row r="4" spans="1:23" ht="60" x14ac:dyDescent="0.25">
      <c r="A4" s="47" t="s">
        <v>65</v>
      </c>
      <c r="B4" s="47" t="s">
        <v>66</v>
      </c>
      <c r="C4" s="47" t="s">
        <v>67</v>
      </c>
      <c r="D4" s="47" t="s">
        <v>68</v>
      </c>
      <c r="E4" s="384" t="s">
        <v>333</v>
      </c>
      <c r="F4" s="385" t="s">
        <v>377</v>
      </c>
      <c r="G4" s="385" t="s">
        <v>376</v>
      </c>
      <c r="H4" s="385" t="s">
        <v>146</v>
      </c>
      <c r="J4" s="47" t="s">
        <v>66</v>
      </c>
      <c r="K4" s="47" t="s">
        <v>68</v>
      </c>
      <c r="L4" s="77" t="s">
        <v>132</v>
      </c>
      <c r="M4" s="77" t="s">
        <v>133</v>
      </c>
      <c r="N4" s="77" t="s">
        <v>328</v>
      </c>
      <c r="O4" s="77" t="s">
        <v>329</v>
      </c>
      <c r="P4" s="77" t="s">
        <v>53</v>
      </c>
      <c r="Q4" s="77" t="s">
        <v>54</v>
      </c>
      <c r="T4" s="60"/>
      <c r="U4" s="60"/>
      <c r="V4" s="60"/>
      <c r="W4" s="60"/>
    </row>
    <row r="5" spans="1:23" x14ac:dyDescent="0.25">
      <c r="A5" s="43" t="s">
        <v>0</v>
      </c>
      <c r="B5" t="s">
        <v>57</v>
      </c>
      <c r="C5" t="s">
        <v>70</v>
      </c>
      <c r="D5" t="s">
        <v>58</v>
      </c>
      <c r="E5" s="386">
        <v>0.77</v>
      </c>
      <c r="F5" s="86">
        <f t="shared" ref="F5:F34" si="0">H5/GCV/1000</f>
        <v>2165.1669999999999</v>
      </c>
      <c r="G5" s="469">
        <v>18523204.5</v>
      </c>
      <c r="H5" s="86">
        <v>24228218.73</v>
      </c>
      <c r="J5" s="43" t="s">
        <v>57</v>
      </c>
      <c r="K5" t="s">
        <v>56</v>
      </c>
      <c r="L5" s="263">
        <v>381.59447</v>
      </c>
      <c r="M5" s="46">
        <v>17377622</v>
      </c>
      <c r="N5" s="263">
        <v>1.3</v>
      </c>
      <c r="O5" s="263">
        <v>0.62</v>
      </c>
      <c r="T5" s="60"/>
      <c r="U5" s="463"/>
      <c r="V5" s="464"/>
      <c r="W5" s="60"/>
    </row>
    <row r="6" spans="1:23" x14ac:dyDescent="0.25">
      <c r="A6" s="43" t="s">
        <v>0</v>
      </c>
      <c r="B6" t="s">
        <v>57</v>
      </c>
      <c r="C6" t="s">
        <v>70</v>
      </c>
      <c r="D6" t="s">
        <v>59</v>
      </c>
      <c r="E6" s="386">
        <v>1.3</v>
      </c>
      <c r="F6" s="86">
        <f t="shared" si="0"/>
        <v>862.4670000000001</v>
      </c>
      <c r="G6" s="469">
        <v>10319273.196481112</v>
      </c>
      <c r="H6" s="86">
        <v>9651005.7300000004</v>
      </c>
      <c r="J6" s="43" t="s">
        <v>57</v>
      </c>
      <c r="K6" t="s">
        <v>58</v>
      </c>
      <c r="L6" s="263">
        <v>0</v>
      </c>
      <c r="M6" s="46">
        <v>96080396</v>
      </c>
      <c r="N6" s="263">
        <v>0.77</v>
      </c>
      <c r="O6" s="263">
        <v>0</v>
      </c>
      <c r="T6" s="60"/>
      <c r="U6" s="463"/>
      <c r="V6" s="464"/>
      <c r="W6" s="60"/>
    </row>
    <row r="7" spans="1:23" x14ac:dyDescent="0.25">
      <c r="A7" s="43" t="s">
        <v>0</v>
      </c>
      <c r="B7" t="s">
        <v>57</v>
      </c>
      <c r="C7" t="s">
        <v>70</v>
      </c>
      <c r="D7" t="s">
        <v>60</v>
      </c>
      <c r="E7" s="386">
        <v>1.3</v>
      </c>
      <c r="F7" s="86">
        <f t="shared" si="0"/>
        <v>124.5</v>
      </c>
      <c r="G7" s="469">
        <v>2311811.2280670945</v>
      </c>
      <c r="H7" s="86">
        <v>1393155</v>
      </c>
      <c r="J7" s="43" t="s">
        <v>57</v>
      </c>
      <c r="K7" t="s">
        <v>59</v>
      </c>
      <c r="L7" s="263">
        <v>242</v>
      </c>
      <c r="M7" s="46">
        <v>10349306</v>
      </c>
      <c r="N7" s="263">
        <v>1.3</v>
      </c>
      <c r="O7" s="263">
        <v>0</v>
      </c>
      <c r="T7" s="60"/>
      <c r="U7" s="463"/>
      <c r="V7" s="464"/>
      <c r="W7" s="60"/>
    </row>
    <row r="8" spans="1:23" x14ac:dyDescent="0.25">
      <c r="A8" s="43" t="s">
        <v>0</v>
      </c>
      <c r="B8" t="s">
        <v>57</v>
      </c>
      <c r="C8" t="s">
        <v>70</v>
      </c>
      <c r="D8" s="60" t="s">
        <v>96</v>
      </c>
      <c r="E8" s="386">
        <v>0.77</v>
      </c>
      <c r="F8" s="86">
        <f t="shared" si="0"/>
        <v>0</v>
      </c>
      <c r="G8" s="469">
        <v>0</v>
      </c>
      <c r="H8" s="86">
        <v>0</v>
      </c>
      <c r="J8" s="43" t="s">
        <v>57</v>
      </c>
      <c r="K8" t="s">
        <v>60</v>
      </c>
      <c r="L8" s="263">
        <v>337</v>
      </c>
      <c r="M8" s="46">
        <v>4750155</v>
      </c>
      <c r="N8" s="263">
        <v>1.3</v>
      </c>
      <c r="O8" s="263">
        <v>1.17</v>
      </c>
      <c r="T8" s="60"/>
      <c r="U8" s="463"/>
      <c r="V8" s="464"/>
      <c r="W8" s="60"/>
    </row>
    <row r="9" spans="1:23" x14ac:dyDescent="0.25">
      <c r="A9" s="43" t="s">
        <v>0</v>
      </c>
      <c r="B9" t="s">
        <v>57</v>
      </c>
      <c r="C9" t="s">
        <v>70</v>
      </c>
      <c r="D9" t="s">
        <v>73</v>
      </c>
      <c r="E9" s="386">
        <v>1.1000000000000001</v>
      </c>
      <c r="F9" s="86">
        <f t="shared" si="0"/>
        <v>0</v>
      </c>
      <c r="G9" s="469">
        <v>0</v>
      </c>
      <c r="H9" s="86">
        <v>0</v>
      </c>
      <c r="J9" s="43" t="s">
        <v>57</v>
      </c>
      <c r="K9" t="s">
        <v>61</v>
      </c>
      <c r="L9" s="263">
        <v>2</v>
      </c>
      <c r="M9" s="46">
        <v>7273500</v>
      </c>
      <c r="N9" s="263">
        <v>0</v>
      </c>
      <c r="O9" s="263">
        <v>0</v>
      </c>
      <c r="T9" s="60"/>
      <c r="U9" s="463"/>
      <c r="V9" s="464"/>
      <c r="W9" s="60"/>
    </row>
    <row r="10" spans="1:23" x14ac:dyDescent="0.25">
      <c r="A10" s="43" t="s">
        <v>0</v>
      </c>
      <c r="B10" t="s">
        <v>57</v>
      </c>
      <c r="C10" t="s">
        <v>70</v>
      </c>
      <c r="D10" t="s">
        <v>74</v>
      </c>
      <c r="E10" s="386">
        <v>0.77</v>
      </c>
      <c r="F10" s="86">
        <f t="shared" si="0"/>
        <v>0</v>
      </c>
      <c r="G10" s="502">
        <v>0</v>
      </c>
      <c r="H10" s="86">
        <v>0</v>
      </c>
      <c r="J10" s="43" t="s">
        <v>57</v>
      </c>
      <c r="K10" t="s">
        <v>125</v>
      </c>
      <c r="L10" s="263">
        <v>334</v>
      </c>
      <c r="M10" s="84">
        <f>G26</f>
        <v>1765899.9999999998</v>
      </c>
      <c r="N10" s="263">
        <v>0</v>
      </c>
      <c r="O10" s="263">
        <v>0</v>
      </c>
      <c r="T10" s="60"/>
      <c r="U10" s="463"/>
      <c r="V10" s="465"/>
      <c r="W10" s="60"/>
    </row>
    <row r="11" spans="1:23" x14ac:dyDescent="0.25">
      <c r="A11" s="43" t="s">
        <v>0</v>
      </c>
      <c r="B11" s="29" t="s">
        <v>69</v>
      </c>
      <c r="C11" t="s">
        <v>70</v>
      </c>
      <c r="D11" t="s">
        <v>58</v>
      </c>
      <c r="E11" s="386">
        <v>1.1200000000000001</v>
      </c>
      <c r="F11" s="86">
        <f t="shared" si="0"/>
        <v>485.83300000000003</v>
      </c>
      <c r="G11" s="469">
        <v>7932724.7715542139</v>
      </c>
      <c r="H11" s="86">
        <v>5436471.2699999996</v>
      </c>
      <c r="J11" s="43" t="s">
        <v>57</v>
      </c>
      <c r="K11" s="60" t="s">
        <v>96</v>
      </c>
      <c r="L11" s="263">
        <v>46</v>
      </c>
      <c r="M11" s="46">
        <v>0</v>
      </c>
      <c r="N11" s="263">
        <v>0.77</v>
      </c>
      <c r="O11" s="263">
        <v>0</v>
      </c>
      <c r="T11" s="60"/>
      <c r="U11" s="463"/>
      <c r="V11" s="464"/>
      <c r="W11" s="60"/>
    </row>
    <row r="12" spans="1:23" x14ac:dyDescent="0.25">
      <c r="A12" s="43" t="s">
        <v>0</v>
      </c>
      <c r="B12" s="29" t="s">
        <v>69</v>
      </c>
      <c r="C12" t="s">
        <v>70</v>
      </c>
      <c r="D12" t="s">
        <v>59</v>
      </c>
      <c r="E12" s="386">
        <v>3.44</v>
      </c>
      <c r="F12" s="86">
        <f t="shared" si="0"/>
        <v>1399.4929999999999</v>
      </c>
      <c r="G12" s="469">
        <v>14873464.00429618</v>
      </c>
      <c r="H12" s="86">
        <v>15660326.67</v>
      </c>
      <c r="J12" s="43" t="s">
        <v>57</v>
      </c>
      <c r="K12" t="s">
        <v>73</v>
      </c>
      <c r="L12" s="263">
        <v>238</v>
      </c>
      <c r="M12" s="46">
        <v>0</v>
      </c>
      <c r="N12" s="263">
        <v>1.1000000000000001</v>
      </c>
      <c r="O12" s="263">
        <v>0</v>
      </c>
      <c r="T12" s="60"/>
      <c r="U12" s="463"/>
      <c r="V12" s="464"/>
      <c r="W12" s="60"/>
    </row>
    <row r="13" spans="1:23" x14ac:dyDescent="0.25">
      <c r="A13" s="43" t="s">
        <v>0</v>
      </c>
      <c r="B13" s="29" t="s">
        <v>69</v>
      </c>
      <c r="C13" t="s">
        <v>70</v>
      </c>
      <c r="D13" t="s">
        <v>73</v>
      </c>
      <c r="E13" s="386">
        <v>3.33</v>
      </c>
      <c r="F13" s="86">
        <f t="shared" si="0"/>
        <v>302.27199999999999</v>
      </c>
      <c r="G13" s="469">
        <f>1810849.97476493</f>
        <v>1810849.9747649301</v>
      </c>
      <c r="H13" s="86">
        <v>3382423.6799999997</v>
      </c>
      <c r="J13" s="43" t="s">
        <v>57</v>
      </c>
      <c r="K13" t="s">
        <v>74</v>
      </c>
      <c r="L13" s="263">
        <v>36</v>
      </c>
      <c r="M13" s="46">
        <v>0</v>
      </c>
      <c r="N13" s="263">
        <v>0.77</v>
      </c>
      <c r="O13" s="263">
        <v>0</v>
      </c>
      <c r="T13" s="60"/>
      <c r="U13" s="463"/>
      <c r="V13" s="464"/>
      <c r="W13" s="60"/>
    </row>
    <row r="14" spans="1:23" x14ac:dyDescent="0.25">
      <c r="A14" s="43" t="s">
        <v>0</v>
      </c>
      <c r="B14" s="29" t="s">
        <v>69</v>
      </c>
      <c r="C14" t="s">
        <v>70</v>
      </c>
      <c r="D14" s="60" t="s">
        <v>96</v>
      </c>
      <c r="E14" s="386">
        <v>1.1200000000000001</v>
      </c>
      <c r="F14" s="86">
        <f t="shared" si="0"/>
        <v>570</v>
      </c>
      <c r="G14" s="469">
        <v>6415166.2901679594</v>
      </c>
      <c r="H14" s="86">
        <v>6378300</v>
      </c>
      <c r="J14" s="43" t="s">
        <v>57</v>
      </c>
      <c r="K14" t="s">
        <v>75</v>
      </c>
      <c r="L14" s="263">
        <f>SUMPRODUCT(Distances!E13:E24,Distances!G13:G24)/SUM(Distances!E13:E24)</f>
        <v>37.275145170465059</v>
      </c>
      <c r="M14" s="46">
        <f>G17</f>
        <v>10848000</v>
      </c>
      <c r="N14" s="263">
        <v>0</v>
      </c>
      <c r="O14" s="263">
        <v>0</v>
      </c>
      <c r="T14" s="60"/>
      <c r="U14" s="463"/>
      <c r="V14" s="464"/>
      <c r="W14" s="60"/>
    </row>
    <row r="15" spans="1:23" x14ac:dyDescent="0.25">
      <c r="A15" s="43" t="s">
        <v>0</v>
      </c>
      <c r="B15" s="29" t="s">
        <v>69</v>
      </c>
      <c r="C15" t="s">
        <v>70</v>
      </c>
      <c r="D15" t="s">
        <v>74</v>
      </c>
      <c r="E15" s="386">
        <v>1.1200000000000001</v>
      </c>
      <c r="F15" s="86">
        <f t="shared" si="0"/>
        <v>0</v>
      </c>
      <c r="G15" s="502">
        <v>0</v>
      </c>
      <c r="H15" s="86">
        <v>0</v>
      </c>
      <c r="J15" s="43" t="s">
        <v>69</v>
      </c>
      <c r="K15" t="s">
        <v>56</v>
      </c>
      <c r="L15" s="83">
        <v>381.59447</v>
      </c>
      <c r="M15" s="84">
        <v>50014969</v>
      </c>
      <c r="N15" s="263">
        <v>4.63</v>
      </c>
      <c r="O15" s="263">
        <v>0</v>
      </c>
      <c r="T15" s="60"/>
      <c r="U15" s="463"/>
      <c r="V15" s="465"/>
      <c r="W15" s="60"/>
    </row>
    <row r="16" spans="1:23" x14ac:dyDescent="0.25">
      <c r="A16" s="43" t="s">
        <v>0</v>
      </c>
      <c r="B16" s="29" t="s">
        <v>69</v>
      </c>
      <c r="C16" t="s">
        <v>70</v>
      </c>
      <c r="D16" t="s">
        <v>75</v>
      </c>
      <c r="E16" s="386">
        <v>0.53</v>
      </c>
      <c r="F16" s="86">
        <f t="shared" si="0"/>
        <v>1914.4588918677391</v>
      </c>
      <c r="G16" s="503">
        <v>21422795</v>
      </c>
      <c r="H16" s="86">
        <f>G16</f>
        <v>21422795</v>
      </c>
      <c r="J16" s="43" t="s">
        <v>69</v>
      </c>
      <c r="K16" s="60" t="s">
        <v>58</v>
      </c>
      <c r="L16" s="263">
        <v>0</v>
      </c>
      <c r="M16" s="84">
        <v>10272000</v>
      </c>
      <c r="N16" s="263">
        <v>1.1200000000000001</v>
      </c>
      <c r="O16" s="263">
        <v>0</v>
      </c>
      <c r="T16" s="60"/>
      <c r="U16" s="463"/>
      <c r="V16" s="466"/>
      <c r="W16" s="60"/>
    </row>
    <row r="17" spans="1:23" x14ac:dyDescent="0.25">
      <c r="A17" s="43" t="s">
        <v>0</v>
      </c>
      <c r="B17" t="s">
        <v>57</v>
      </c>
      <c r="C17" t="s">
        <v>70</v>
      </c>
      <c r="D17" t="s">
        <v>75</v>
      </c>
      <c r="E17" s="386">
        <v>0</v>
      </c>
      <c r="F17" s="86">
        <f t="shared" si="0"/>
        <v>969.43699731903484</v>
      </c>
      <c r="G17" s="469">
        <v>10848000</v>
      </c>
      <c r="H17" s="86">
        <v>10848000</v>
      </c>
      <c r="J17" s="43" t="s">
        <v>69</v>
      </c>
      <c r="K17" s="60" t="s">
        <v>96</v>
      </c>
      <c r="L17" s="83">
        <v>46</v>
      </c>
      <c r="M17" s="84">
        <v>6378300</v>
      </c>
      <c r="N17" s="263">
        <v>1.1200000000000001</v>
      </c>
      <c r="O17" s="263">
        <v>0</v>
      </c>
      <c r="T17" s="60"/>
      <c r="U17" s="463"/>
      <c r="V17" s="464"/>
      <c r="W17" s="60"/>
    </row>
    <row r="18" spans="1:23" x14ac:dyDescent="0.25">
      <c r="A18" s="43" t="s">
        <v>0</v>
      </c>
      <c r="B18" s="29" t="s">
        <v>69</v>
      </c>
      <c r="C18" t="s">
        <v>70</v>
      </c>
      <c r="D18" t="s">
        <v>60</v>
      </c>
      <c r="E18" s="386">
        <v>3.44</v>
      </c>
      <c r="F18" s="86">
        <f t="shared" si="0"/>
        <v>23.730000000000004</v>
      </c>
      <c r="G18" s="469">
        <v>0</v>
      </c>
      <c r="H18" s="86">
        <v>265538.7</v>
      </c>
      <c r="J18" s="43" t="s">
        <v>69</v>
      </c>
      <c r="K18" s="60" t="s">
        <v>73</v>
      </c>
      <c r="L18" s="83">
        <v>238</v>
      </c>
      <c r="M18" s="84">
        <v>4688610</v>
      </c>
      <c r="N18" s="263">
        <v>3.33</v>
      </c>
      <c r="O18" s="263">
        <v>0</v>
      </c>
      <c r="T18" s="60"/>
      <c r="U18" s="463"/>
      <c r="V18" s="464"/>
      <c r="W18" s="60"/>
    </row>
    <row r="19" spans="1:23" x14ac:dyDescent="0.25">
      <c r="A19" s="43" t="s">
        <v>0</v>
      </c>
      <c r="B19" t="s">
        <v>57</v>
      </c>
      <c r="C19" s="43" t="s">
        <v>71</v>
      </c>
      <c r="D19" t="s">
        <v>60</v>
      </c>
      <c r="E19" s="386">
        <f>+E7*0.9</f>
        <v>1.1700000000000002</v>
      </c>
      <c r="F19" s="86">
        <f t="shared" si="0"/>
        <v>300</v>
      </c>
      <c r="G19" s="469">
        <v>3357000</v>
      </c>
      <c r="H19" s="86">
        <v>3357000</v>
      </c>
      <c r="J19" s="43" t="s">
        <v>69</v>
      </c>
      <c r="K19" s="60" t="s">
        <v>59</v>
      </c>
      <c r="L19" s="83">
        <v>242</v>
      </c>
      <c r="M19" s="84">
        <v>15660325</v>
      </c>
      <c r="N19" s="263">
        <v>3.44</v>
      </c>
      <c r="O19" s="263">
        <v>0</v>
      </c>
      <c r="T19" s="60"/>
      <c r="U19" s="463"/>
      <c r="V19" s="464"/>
      <c r="W19" s="60"/>
    </row>
    <row r="20" spans="1:23" x14ac:dyDescent="0.25">
      <c r="A20" s="43" t="s">
        <v>0</v>
      </c>
      <c r="B20" s="29" t="s">
        <v>69</v>
      </c>
      <c r="C20" s="43" t="s">
        <v>71</v>
      </c>
      <c r="D20" t="s">
        <v>75</v>
      </c>
      <c r="E20" s="386">
        <v>0.48</v>
      </c>
      <c r="F20" s="86">
        <f t="shared" si="0"/>
        <v>414.26532618409294</v>
      </c>
      <c r="G20" s="469">
        <v>4635629</v>
      </c>
      <c r="H20" s="86">
        <v>4635629</v>
      </c>
      <c r="J20" s="43" t="s">
        <v>69</v>
      </c>
      <c r="K20" s="60" t="s">
        <v>74</v>
      </c>
      <c r="L20" s="83">
        <v>36</v>
      </c>
      <c r="M20" s="84">
        <v>1119000</v>
      </c>
      <c r="N20" s="263">
        <v>1.1200000000000001</v>
      </c>
      <c r="O20" s="263">
        <v>0</v>
      </c>
      <c r="T20" s="60"/>
      <c r="U20" s="463"/>
      <c r="V20" s="464"/>
      <c r="W20" s="60"/>
    </row>
    <row r="21" spans="1:23" x14ac:dyDescent="0.25">
      <c r="A21" s="43" t="s">
        <v>0</v>
      </c>
      <c r="B21" s="29" t="s">
        <v>69</v>
      </c>
      <c r="C21" s="43" t="s">
        <v>71</v>
      </c>
      <c r="D21" t="s">
        <v>75</v>
      </c>
      <c r="E21" s="386">
        <v>0.48</v>
      </c>
      <c r="F21" s="86">
        <f t="shared" si="0"/>
        <v>212.57042001787312</v>
      </c>
      <c r="G21" s="469">
        <v>2378663</v>
      </c>
      <c r="H21" s="86">
        <v>2378663</v>
      </c>
      <c r="J21" s="43" t="s">
        <v>69</v>
      </c>
      <c r="K21" s="60" t="s">
        <v>60</v>
      </c>
      <c r="L21" s="83">
        <v>337</v>
      </c>
      <c r="M21" s="84">
        <v>7273500</v>
      </c>
      <c r="N21" s="263">
        <v>3.44</v>
      </c>
      <c r="O21" s="263">
        <v>2.99</v>
      </c>
      <c r="T21" s="60"/>
      <c r="U21" s="463"/>
      <c r="V21" s="464"/>
      <c r="W21" s="60"/>
    </row>
    <row r="22" spans="1:23" x14ac:dyDescent="0.25">
      <c r="A22" s="43" t="s">
        <v>0</v>
      </c>
      <c r="B22" s="29" t="s">
        <v>69</v>
      </c>
      <c r="C22" s="43" t="s">
        <v>71</v>
      </c>
      <c r="D22" t="s">
        <v>60</v>
      </c>
      <c r="E22" s="386">
        <v>2.99</v>
      </c>
      <c r="F22" s="86">
        <f t="shared" si="0"/>
        <v>578.06200000000001</v>
      </c>
      <c r="G22" s="469">
        <v>6431372.0000000019</v>
      </c>
      <c r="H22" s="86">
        <v>6468513.7799999993</v>
      </c>
      <c r="J22" s="43" t="s">
        <v>69</v>
      </c>
      <c r="K22" s="60" t="s">
        <v>61</v>
      </c>
      <c r="L22" s="83">
        <v>2</v>
      </c>
      <c r="M22" s="84">
        <v>7273500</v>
      </c>
      <c r="N22" s="263">
        <v>0.4</v>
      </c>
      <c r="O22" s="263">
        <v>0</v>
      </c>
      <c r="T22" s="60"/>
      <c r="U22" s="463"/>
      <c r="V22" s="464"/>
      <c r="W22" s="60"/>
    </row>
    <row r="23" spans="1:23" x14ac:dyDescent="0.25">
      <c r="A23" s="43" t="s">
        <v>0</v>
      </c>
      <c r="B23" t="s">
        <v>57</v>
      </c>
      <c r="C23" s="29" t="s">
        <v>72</v>
      </c>
      <c r="D23" t="s">
        <v>60</v>
      </c>
      <c r="E23" s="386">
        <v>0.14000000000000001</v>
      </c>
      <c r="F23" s="86">
        <f t="shared" si="0"/>
        <v>0</v>
      </c>
      <c r="G23" s="467">
        <v>0</v>
      </c>
      <c r="H23" s="86">
        <v>0</v>
      </c>
      <c r="J23" s="43" t="s">
        <v>69</v>
      </c>
      <c r="K23" t="s">
        <v>125</v>
      </c>
      <c r="L23" s="83">
        <v>334</v>
      </c>
      <c r="M23" s="84">
        <f>G25</f>
        <v>1765899.9999999998</v>
      </c>
      <c r="N23" s="263">
        <v>0.4</v>
      </c>
      <c r="O23" s="263">
        <v>0</v>
      </c>
      <c r="T23" s="60"/>
      <c r="U23" s="463"/>
      <c r="V23" s="464"/>
      <c r="W23" s="60"/>
    </row>
    <row r="24" spans="1:23" x14ac:dyDescent="0.25">
      <c r="A24" s="43" t="s">
        <v>0</v>
      </c>
      <c r="B24" t="s">
        <v>57</v>
      </c>
      <c r="C24" s="29" t="s">
        <v>72</v>
      </c>
      <c r="D24" t="s">
        <v>60</v>
      </c>
      <c r="E24" s="386">
        <v>0.14000000000000001</v>
      </c>
      <c r="F24" s="86">
        <f t="shared" si="0"/>
        <v>0</v>
      </c>
      <c r="G24" s="467">
        <v>0</v>
      </c>
      <c r="H24" s="86">
        <v>0</v>
      </c>
      <c r="J24" s="43" t="s">
        <v>69</v>
      </c>
      <c r="K24" t="s">
        <v>97</v>
      </c>
      <c r="L24" s="83">
        <v>24</v>
      </c>
      <c r="M24" s="84">
        <v>4635629</v>
      </c>
      <c r="N24" s="263">
        <v>0.53</v>
      </c>
      <c r="O24" s="263">
        <v>0.48</v>
      </c>
      <c r="P24" s="46">
        <v>0</v>
      </c>
      <c r="Q24" s="46">
        <f>G20</f>
        <v>4635629</v>
      </c>
      <c r="T24" s="60"/>
      <c r="U24" s="463"/>
      <c r="V24" s="464"/>
      <c r="W24" s="60"/>
    </row>
    <row r="25" spans="1:23" x14ac:dyDescent="0.25">
      <c r="A25" s="43" t="s">
        <v>0</v>
      </c>
      <c r="B25" s="29" t="s">
        <v>69</v>
      </c>
      <c r="C25" t="s">
        <v>70</v>
      </c>
      <c r="D25" t="s">
        <v>125</v>
      </c>
      <c r="E25" s="386">
        <v>0.4</v>
      </c>
      <c r="F25" s="86">
        <f t="shared" si="0"/>
        <v>263.70196604110811</v>
      </c>
      <c r="G25" s="469">
        <v>1765899.9999999998</v>
      </c>
      <c r="H25" s="86">
        <v>2950825</v>
      </c>
      <c r="J25" s="43" t="s">
        <v>69</v>
      </c>
      <c r="K25" t="s">
        <v>98</v>
      </c>
      <c r="L25" s="83">
        <v>78</v>
      </c>
      <c r="M25" s="84">
        <v>0</v>
      </c>
      <c r="N25" s="263">
        <v>0.53</v>
      </c>
      <c r="O25" s="263">
        <v>0</v>
      </c>
      <c r="P25" s="46">
        <v>0</v>
      </c>
      <c r="Q25" s="46">
        <v>0</v>
      </c>
      <c r="T25" s="60"/>
      <c r="U25" s="463"/>
      <c r="V25" s="464"/>
      <c r="W25" s="60"/>
    </row>
    <row r="26" spans="1:23" x14ac:dyDescent="0.25">
      <c r="A26" s="43" t="s">
        <v>0</v>
      </c>
      <c r="B26" t="s">
        <v>57</v>
      </c>
      <c r="C26" t="s">
        <v>70</v>
      </c>
      <c r="D26" t="s">
        <v>125</v>
      </c>
      <c r="E26" s="386">
        <v>0</v>
      </c>
      <c r="F26" s="86">
        <f t="shared" si="0"/>
        <v>263.70196604110811</v>
      </c>
      <c r="G26" s="469">
        <v>1765899.9999999998</v>
      </c>
      <c r="H26" s="86">
        <v>2950825</v>
      </c>
      <c r="J26" s="43" t="s">
        <v>69</v>
      </c>
      <c r="K26" t="s">
        <v>99</v>
      </c>
      <c r="L26" s="83">
        <v>133</v>
      </c>
      <c r="M26" s="84">
        <v>0</v>
      </c>
      <c r="N26" s="263">
        <v>0.53</v>
      </c>
      <c r="O26" s="263">
        <v>0</v>
      </c>
      <c r="P26" s="46">
        <v>0</v>
      </c>
      <c r="Q26" s="46">
        <v>0</v>
      </c>
      <c r="T26" s="60"/>
      <c r="U26" s="463"/>
      <c r="V26" s="464"/>
      <c r="W26" s="60"/>
    </row>
    <row r="27" spans="1:23" x14ac:dyDescent="0.25">
      <c r="A27" s="43" t="s">
        <v>0</v>
      </c>
      <c r="B27" t="s">
        <v>57</v>
      </c>
      <c r="C27" t="s">
        <v>70</v>
      </c>
      <c r="D27" t="s">
        <v>61</v>
      </c>
      <c r="E27" s="386">
        <v>0</v>
      </c>
      <c r="F27" s="86">
        <f t="shared" si="0"/>
        <v>513.79740840035743</v>
      </c>
      <c r="G27" s="469">
        <v>6663038</v>
      </c>
      <c r="H27" s="86">
        <v>5749393</v>
      </c>
      <c r="J27" s="43" t="s">
        <v>69</v>
      </c>
      <c r="K27" t="s">
        <v>100</v>
      </c>
      <c r="L27" s="83">
        <v>185</v>
      </c>
      <c r="M27" s="84">
        <v>0</v>
      </c>
      <c r="N27" s="263">
        <v>0.53</v>
      </c>
      <c r="O27" s="263">
        <v>0</v>
      </c>
      <c r="P27" s="46">
        <v>0</v>
      </c>
      <c r="Q27" s="46">
        <v>0</v>
      </c>
      <c r="T27" s="60"/>
      <c r="U27" s="60"/>
      <c r="V27" s="60"/>
      <c r="W27" s="60"/>
    </row>
    <row r="28" spans="1:23" x14ac:dyDescent="0.25">
      <c r="A28" s="43" t="s">
        <v>0</v>
      </c>
      <c r="B28" s="29" t="s">
        <v>69</v>
      </c>
      <c r="C28" t="s">
        <v>70</v>
      </c>
      <c r="D28" t="s">
        <v>61</v>
      </c>
      <c r="E28" s="386">
        <v>0.4</v>
      </c>
      <c r="F28" s="86">
        <f t="shared" si="0"/>
        <v>513.79740840035743</v>
      </c>
      <c r="G28" s="469">
        <v>6663038</v>
      </c>
      <c r="H28" s="86">
        <v>5749393</v>
      </c>
      <c r="J28" s="43" t="s">
        <v>69</v>
      </c>
      <c r="K28" t="s">
        <v>101</v>
      </c>
      <c r="L28" s="83">
        <v>202</v>
      </c>
      <c r="M28" s="84">
        <v>2378658</v>
      </c>
      <c r="N28" s="263">
        <v>0.53</v>
      </c>
      <c r="O28" s="263">
        <v>0.48</v>
      </c>
      <c r="P28" s="46">
        <v>0</v>
      </c>
      <c r="Q28" s="46">
        <f>G21</f>
        <v>2378663</v>
      </c>
      <c r="T28" s="60"/>
      <c r="U28" s="60"/>
      <c r="V28" s="60"/>
      <c r="W28" s="60"/>
    </row>
    <row r="29" spans="1:23" x14ac:dyDescent="0.25">
      <c r="A29" s="43" t="s">
        <v>36</v>
      </c>
      <c r="B29" t="s">
        <v>57</v>
      </c>
      <c r="C29" t="s">
        <v>70</v>
      </c>
      <c r="D29" t="s">
        <v>58</v>
      </c>
      <c r="E29" s="386">
        <v>0.77</v>
      </c>
      <c r="F29" s="86">
        <f t="shared" si="0"/>
        <v>5151.366</v>
      </c>
      <c r="G29" s="469">
        <v>48765188</v>
      </c>
      <c r="H29" s="86">
        <v>57643785.539999999</v>
      </c>
      <c r="J29" s="43" t="s">
        <v>69</v>
      </c>
      <c r="K29" t="s">
        <v>102</v>
      </c>
      <c r="L29" s="83">
        <v>222</v>
      </c>
      <c r="M29" s="84">
        <v>0</v>
      </c>
      <c r="N29" s="263">
        <v>0.53</v>
      </c>
      <c r="O29" s="263">
        <v>0</v>
      </c>
      <c r="P29" s="46">
        <v>0</v>
      </c>
      <c r="Q29" s="46">
        <v>0</v>
      </c>
      <c r="T29" s="60"/>
      <c r="U29" s="60"/>
      <c r="V29" s="60"/>
      <c r="W29" s="60"/>
    </row>
    <row r="30" spans="1:23" x14ac:dyDescent="0.25">
      <c r="A30" s="43" t="s">
        <v>36</v>
      </c>
      <c r="B30" t="s">
        <v>57</v>
      </c>
      <c r="C30" t="s">
        <v>70</v>
      </c>
      <c r="D30" t="s">
        <v>56</v>
      </c>
      <c r="E30" s="386">
        <v>1.3</v>
      </c>
      <c r="F30" s="86">
        <f t="shared" si="0"/>
        <v>0</v>
      </c>
      <c r="G30" s="86">
        <f>F30*GCV*1000</f>
        <v>0</v>
      </c>
      <c r="H30" s="86">
        <v>0</v>
      </c>
      <c r="J30" s="43" t="s">
        <v>69</v>
      </c>
      <c r="K30" t="s">
        <v>103</v>
      </c>
      <c r="L30" s="83">
        <v>0</v>
      </c>
      <c r="M30" s="84">
        <v>21422795</v>
      </c>
      <c r="N30" s="263">
        <v>0.53</v>
      </c>
      <c r="O30" s="263">
        <v>0</v>
      </c>
      <c r="P30" s="46">
        <f>G16</f>
        <v>21422795</v>
      </c>
      <c r="Q30" s="46">
        <v>0</v>
      </c>
      <c r="T30" s="60"/>
      <c r="U30" s="60"/>
      <c r="V30" s="60"/>
      <c r="W30" s="60"/>
    </row>
    <row r="31" spans="1:23" x14ac:dyDescent="0.25">
      <c r="A31" s="43" t="s">
        <v>36</v>
      </c>
      <c r="B31" s="29" t="s">
        <v>69</v>
      </c>
      <c r="C31" t="s">
        <v>70</v>
      </c>
      <c r="D31" t="s">
        <v>56</v>
      </c>
      <c r="E31" s="386">
        <v>4.63</v>
      </c>
      <c r="F31" s="86">
        <f t="shared" si="0"/>
        <v>4339.4900000000007</v>
      </c>
      <c r="G31" s="86">
        <v>43571929</v>
      </c>
      <c r="H31" s="86">
        <v>48558893.100000009</v>
      </c>
      <c r="J31" s="43" t="s">
        <v>69</v>
      </c>
      <c r="K31" t="s">
        <v>104</v>
      </c>
      <c r="L31" s="83">
        <v>71.84778</v>
      </c>
      <c r="M31" s="84">
        <v>1111503</v>
      </c>
      <c r="N31" s="263">
        <v>0.53</v>
      </c>
      <c r="O31" s="263">
        <v>0</v>
      </c>
      <c r="P31" s="46">
        <v>1111503</v>
      </c>
      <c r="Q31" s="46">
        <v>0</v>
      </c>
      <c r="T31" s="60"/>
      <c r="U31" s="60"/>
      <c r="V31" s="60"/>
      <c r="W31" s="60"/>
    </row>
    <row r="32" spans="1:23" x14ac:dyDescent="0.25">
      <c r="A32" s="43" t="s">
        <v>36</v>
      </c>
      <c r="B32" s="29" t="s">
        <v>69</v>
      </c>
      <c r="C32" t="s">
        <v>70</v>
      </c>
      <c r="D32" t="s">
        <v>75</v>
      </c>
      <c r="E32" s="386">
        <v>0.53</v>
      </c>
      <c r="F32" s="86">
        <f t="shared" si="0"/>
        <v>318.37998212689899</v>
      </c>
      <c r="G32" s="86">
        <v>2957018</v>
      </c>
      <c r="H32" s="86">
        <v>3562672</v>
      </c>
      <c r="J32" s="43" t="s">
        <v>69</v>
      </c>
      <c r="K32" t="s">
        <v>105</v>
      </c>
      <c r="L32" s="83">
        <v>137.48994999999999</v>
      </c>
      <c r="M32" s="84">
        <v>166731</v>
      </c>
      <c r="N32" s="263">
        <v>0.53</v>
      </c>
      <c r="O32" s="263">
        <v>0</v>
      </c>
      <c r="P32" s="46">
        <v>166731</v>
      </c>
      <c r="Q32" s="46">
        <v>0</v>
      </c>
      <c r="T32" s="60"/>
      <c r="U32" s="60"/>
      <c r="V32" s="60"/>
      <c r="W32" s="60"/>
    </row>
    <row r="33" spans="1:23" x14ac:dyDescent="0.25">
      <c r="A33" s="43" t="s">
        <v>36</v>
      </c>
      <c r="B33" s="29" t="s">
        <v>69</v>
      </c>
      <c r="C33" t="s">
        <v>70</v>
      </c>
      <c r="D33" t="s">
        <v>76</v>
      </c>
      <c r="E33" s="386">
        <v>4.2</v>
      </c>
      <c r="F33" s="86">
        <f t="shared" si="0"/>
        <v>42.168990169794462</v>
      </c>
      <c r="G33" s="86">
        <v>391653</v>
      </c>
      <c r="H33" s="86">
        <v>471871</v>
      </c>
      <c r="J33" s="43" t="s">
        <v>69</v>
      </c>
      <c r="K33" t="s">
        <v>106</v>
      </c>
      <c r="L33" s="83">
        <v>180.23273</v>
      </c>
      <c r="M33" s="84">
        <v>221439</v>
      </c>
      <c r="N33" s="263">
        <v>0.53</v>
      </c>
      <c r="O33" s="263">
        <v>0</v>
      </c>
      <c r="P33" s="46">
        <v>221439</v>
      </c>
      <c r="Q33" s="46">
        <v>0</v>
      </c>
      <c r="T33" s="60"/>
      <c r="U33" s="60"/>
      <c r="V33" s="60"/>
      <c r="W33" s="60"/>
    </row>
    <row r="34" spans="1:23" x14ac:dyDescent="0.25">
      <c r="A34" s="43" t="s">
        <v>36</v>
      </c>
      <c r="B34" t="s">
        <v>57</v>
      </c>
      <c r="C34" s="43" t="s">
        <v>71</v>
      </c>
      <c r="D34" t="s">
        <v>56</v>
      </c>
      <c r="E34" s="386">
        <v>0.62</v>
      </c>
      <c r="F34" s="86">
        <f t="shared" si="0"/>
        <v>47.48299999999999</v>
      </c>
      <c r="G34" s="86">
        <v>521331</v>
      </c>
      <c r="H34" s="86">
        <v>531334.7699999999</v>
      </c>
      <c r="J34" s="43" t="s">
        <v>69</v>
      </c>
      <c r="K34" t="s">
        <v>107</v>
      </c>
      <c r="L34" s="83">
        <v>210.69001</v>
      </c>
      <c r="M34" s="84">
        <v>1952543</v>
      </c>
      <c r="N34" s="263">
        <v>0.53</v>
      </c>
      <c r="O34" s="263">
        <v>0</v>
      </c>
      <c r="P34" s="46">
        <v>1952543</v>
      </c>
      <c r="Q34" s="46">
        <v>0</v>
      </c>
    </row>
    <row r="35" spans="1:23" x14ac:dyDescent="0.25">
      <c r="J35" s="43" t="s">
        <v>69</v>
      </c>
      <c r="K35" t="s">
        <v>108</v>
      </c>
      <c r="L35" s="83">
        <v>231.34958</v>
      </c>
      <c r="M35" s="84">
        <v>110456</v>
      </c>
      <c r="N35" s="263">
        <v>0.53</v>
      </c>
      <c r="O35" s="263">
        <v>0</v>
      </c>
      <c r="P35" s="46">
        <v>110456</v>
      </c>
      <c r="Q35" s="46">
        <v>0</v>
      </c>
    </row>
    <row r="36" spans="1:23" x14ac:dyDescent="0.25">
      <c r="E36" s="85"/>
      <c r="F36" s="85"/>
      <c r="J36" s="43" t="s">
        <v>69</v>
      </c>
      <c r="K36" t="s">
        <v>109</v>
      </c>
      <c r="L36" s="83">
        <v>268.73602</v>
      </c>
      <c r="M36" s="84">
        <v>55223</v>
      </c>
      <c r="N36" s="263">
        <v>4.2</v>
      </c>
      <c r="O36" s="263">
        <v>0</v>
      </c>
      <c r="P36" s="46">
        <v>55223</v>
      </c>
      <c r="Q36" s="46">
        <v>0</v>
      </c>
    </row>
    <row r="37" spans="1:23" x14ac:dyDescent="0.25">
      <c r="F37" s="381"/>
      <c r="G37" s="67"/>
      <c r="H37" s="67"/>
      <c r="J37" s="43" t="s">
        <v>69</v>
      </c>
      <c r="K37" t="s">
        <v>110</v>
      </c>
      <c r="L37" s="83">
        <v>300.39652000000001</v>
      </c>
      <c r="M37" s="84">
        <v>22022</v>
      </c>
      <c r="N37" s="263">
        <v>4.2</v>
      </c>
      <c r="O37" s="263">
        <v>0</v>
      </c>
      <c r="P37" s="46">
        <v>22022</v>
      </c>
      <c r="Q37" s="46">
        <v>0</v>
      </c>
    </row>
    <row r="38" spans="1:23" x14ac:dyDescent="0.25">
      <c r="G38" s="381"/>
      <c r="H38" s="468"/>
      <c r="J38" s="43" t="s">
        <v>69</v>
      </c>
      <c r="K38" t="s">
        <v>111</v>
      </c>
      <c r="L38" s="83">
        <v>320.51218999999998</v>
      </c>
      <c r="M38" s="84">
        <v>110087</v>
      </c>
      <c r="N38" s="263">
        <v>4.2</v>
      </c>
      <c r="O38" s="263">
        <v>0</v>
      </c>
      <c r="P38" s="46">
        <v>110087</v>
      </c>
      <c r="Q38" s="46">
        <v>0</v>
      </c>
    </row>
    <row r="39" spans="1:23" x14ac:dyDescent="0.25">
      <c r="J39" s="43" t="s">
        <v>69</v>
      </c>
      <c r="K39" t="s">
        <v>112</v>
      </c>
      <c r="L39" s="83">
        <v>361.42469</v>
      </c>
      <c r="M39" s="84">
        <v>284539</v>
      </c>
      <c r="N39" s="263">
        <v>4.2</v>
      </c>
      <c r="O39" s="263">
        <v>0</v>
      </c>
      <c r="P39" s="46">
        <v>284539</v>
      </c>
      <c r="Q39" s="46">
        <v>0</v>
      </c>
    </row>
    <row r="41" spans="1:23" x14ac:dyDescent="0.25">
      <c r="L41" s="85"/>
      <c r="M41" s="85"/>
      <c r="N41" s="85"/>
      <c r="O41" s="85"/>
      <c r="P41" s="85"/>
      <c r="Q41" s="85"/>
    </row>
    <row r="43" spans="1:23" x14ac:dyDescent="0.25">
      <c r="P43" s="46"/>
      <c r="Q43" s="46"/>
    </row>
    <row r="44" spans="1:23" x14ac:dyDescent="0.25">
      <c r="P44" s="46"/>
      <c r="Q44" s="46"/>
    </row>
    <row r="45" spans="1:23" x14ac:dyDescent="0.25">
      <c r="P45" s="46"/>
      <c r="Q45" s="46"/>
    </row>
    <row r="48" spans="1:23" x14ac:dyDescent="0.25">
      <c r="P48" s="388"/>
      <c r="Q48" s="388"/>
    </row>
    <row r="49" spans="16:17" x14ac:dyDescent="0.25">
      <c r="P49" s="388"/>
      <c r="Q49" s="388"/>
    </row>
    <row r="50" spans="16:17" x14ac:dyDescent="0.25">
      <c r="P50" s="388"/>
      <c r="Q50" s="388"/>
    </row>
    <row r="51" spans="16:17" x14ac:dyDescent="0.25">
      <c r="P51" s="389"/>
      <c r="Q51" s="389"/>
    </row>
  </sheetData>
  <autoFilter ref="A4:G34" xr:uid="{00000000-0009-0000-0000-00000A000000}"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">
    <tabColor rgb="FFFFFF99"/>
  </sheetPr>
  <dimension ref="A1:N55"/>
  <sheetViews>
    <sheetView zoomScale="85" zoomScaleNormal="85" workbookViewId="0">
      <selection activeCell="F5" sqref="F5"/>
    </sheetView>
  </sheetViews>
  <sheetFormatPr baseColWidth="10" defaultColWidth="11.42578125" defaultRowHeight="15" x14ac:dyDescent="0.25"/>
  <cols>
    <col min="1" max="1" width="6.42578125" customWidth="1"/>
    <col min="2" max="2" width="19.5703125" bestFit="1" customWidth="1"/>
    <col min="3" max="3" width="6" customWidth="1"/>
    <col min="4" max="4" width="18.5703125" customWidth="1"/>
    <col min="5" max="5" width="19.42578125" customWidth="1"/>
    <col min="6" max="9" width="13.5703125" customWidth="1"/>
    <col min="10" max="10" width="13.42578125" customWidth="1"/>
    <col min="14" max="14" width="14.140625" customWidth="1"/>
  </cols>
  <sheetData>
    <row r="1" spans="1:14" x14ac:dyDescent="0.25">
      <c r="E1" s="262"/>
      <c r="F1" s="262"/>
      <c r="G1" s="262"/>
      <c r="H1" s="262"/>
      <c r="I1" s="262"/>
      <c r="J1" s="262"/>
    </row>
    <row r="2" spans="1:14" ht="18.75" x14ac:dyDescent="0.3">
      <c r="A2" s="176"/>
      <c r="B2" s="166" t="s">
        <v>196</v>
      </c>
      <c r="C2" s="166"/>
      <c r="E2" s="262"/>
      <c r="F2" s="262"/>
      <c r="G2" s="262"/>
      <c r="H2" s="262"/>
      <c r="I2" s="262"/>
      <c r="J2" s="262"/>
    </row>
    <row r="3" spans="1:14" ht="45" x14ac:dyDescent="0.25">
      <c r="E3" s="168"/>
      <c r="F3" s="167" t="s">
        <v>187</v>
      </c>
      <c r="G3" s="167" t="s">
        <v>188</v>
      </c>
      <c r="H3" s="167" t="s">
        <v>189</v>
      </c>
      <c r="I3" s="167" t="s">
        <v>190</v>
      </c>
      <c r="J3" s="167" t="s">
        <v>200</v>
      </c>
      <c r="M3" s="262"/>
      <c r="N3" s="262"/>
    </row>
    <row r="4" spans="1:14" ht="42.6" customHeight="1" x14ac:dyDescent="0.25">
      <c r="B4" s="174" t="s">
        <v>195</v>
      </c>
      <c r="C4" s="174"/>
      <c r="D4" s="174" t="s">
        <v>186</v>
      </c>
      <c r="E4" s="174" t="s">
        <v>331</v>
      </c>
      <c r="F4" s="172">
        <f>Forecasts!F34+Forecasts!F30</f>
        <v>521331</v>
      </c>
      <c r="G4" s="172">
        <f>Forecasts!F5+Forecasts!F29</f>
        <v>67288392.5</v>
      </c>
      <c r="H4" s="172">
        <f>Forecasts!F7+Forecasts!F19+Forecasts!F23+Forecasts!F24</f>
        <v>5668811.2280670945</v>
      </c>
      <c r="I4" s="172">
        <f>Forecasts!F7+Forecasts!F19</f>
        <v>5668811.2280670945</v>
      </c>
      <c r="M4" s="262"/>
      <c r="N4" s="262"/>
    </row>
    <row r="5" spans="1:14" x14ac:dyDescent="0.25">
      <c r="B5" s="169" t="s">
        <v>56</v>
      </c>
      <c r="C5" s="175" t="s">
        <v>70</v>
      </c>
      <c r="D5" s="177">
        <v>381.59447</v>
      </c>
      <c r="E5" s="173">
        <f>Forecasts!F31</f>
        <v>43571929</v>
      </c>
      <c r="F5" s="170" t="s">
        <v>191</v>
      </c>
      <c r="G5" s="171">
        <f>D5</f>
        <v>381.59447</v>
      </c>
      <c r="H5" s="171">
        <f>$D$9+D5</f>
        <v>623.59447</v>
      </c>
      <c r="I5" s="171">
        <f>$D$11+D5</f>
        <v>718.59447</v>
      </c>
      <c r="M5" s="262"/>
      <c r="N5" s="262"/>
    </row>
    <row r="6" spans="1:14" x14ac:dyDescent="0.25">
      <c r="B6" s="169" t="s">
        <v>58</v>
      </c>
      <c r="C6" s="175" t="s">
        <v>70</v>
      </c>
      <c r="D6" s="178">
        <v>0</v>
      </c>
      <c r="E6" s="173">
        <f>Forecasts!F11</f>
        <v>7932724.7715542139</v>
      </c>
      <c r="F6" s="171">
        <f>$D$5+D6</f>
        <v>381.59447</v>
      </c>
      <c r="G6" s="170" t="s">
        <v>191</v>
      </c>
      <c r="H6" s="171">
        <f>$D$9+D6</f>
        <v>242</v>
      </c>
      <c r="I6" s="171">
        <f>$D$11+D6</f>
        <v>337</v>
      </c>
      <c r="M6" s="262"/>
      <c r="N6" s="262"/>
    </row>
    <row r="7" spans="1:14" x14ac:dyDescent="0.25">
      <c r="B7" s="169" t="s">
        <v>96</v>
      </c>
      <c r="C7" s="175" t="s">
        <v>70</v>
      </c>
      <c r="D7" s="178">
        <v>46</v>
      </c>
      <c r="E7" s="173">
        <f>Forecasts!F14</f>
        <v>6415166.2901679594</v>
      </c>
      <c r="F7" s="171">
        <f>$D$5+D7</f>
        <v>427.59447</v>
      </c>
      <c r="G7" s="171">
        <f t="shared" ref="G7:G28" si="0">D7</f>
        <v>46</v>
      </c>
      <c r="H7" s="171">
        <f>$D$9+D7</f>
        <v>288</v>
      </c>
      <c r="I7" s="171">
        <f>$D$11+D7</f>
        <v>383</v>
      </c>
      <c r="M7" s="262"/>
      <c r="N7" s="262"/>
    </row>
    <row r="8" spans="1:14" x14ac:dyDescent="0.25">
      <c r="B8" s="169" t="s">
        <v>73</v>
      </c>
      <c r="C8" s="175" t="s">
        <v>70</v>
      </c>
      <c r="D8" s="179">
        <v>238</v>
      </c>
      <c r="E8" s="173">
        <f>Forecasts!F13</f>
        <v>1810849.9747649301</v>
      </c>
      <c r="F8" s="171">
        <f>$D$5+D8-2*D23</f>
        <v>198.21445</v>
      </c>
      <c r="G8" s="171">
        <f t="shared" si="0"/>
        <v>238</v>
      </c>
      <c r="H8" s="171">
        <f>$D$9+D8</f>
        <v>480</v>
      </c>
      <c r="I8" s="171">
        <f>$D$11+D8</f>
        <v>575</v>
      </c>
      <c r="M8" s="262"/>
      <c r="N8" s="262"/>
    </row>
    <row r="9" spans="1:14" x14ac:dyDescent="0.25">
      <c r="B9" s="169" t="s">
        <v>59</v>
      </c>
      <c r="C9" s="175" t="s">
        <v>70</v>
      </c>
      <c r="D9" s="178">
        <v>242</v>
      </c>
      <c r="E9" s="173">
        <f>Forecasts!F12</f>
        <v>14873464.00429618</v>
      </c>
      <c r="F9" s="171">
        <f t="shared" ref="F9:F18" si="1">$D$5+D9</f>
        <v>623.59447</v>
      </c>
      <c r="G9" s="171">
        <f t="shared" si="0"/>
        <v>242</v>
      </c>
      <c r="H9" s="170" t="s">
        <v>191</v>
      </c>
      <c r="I9" s="171">
        <f>$D$11-D9</f>
        <v>95</v>
      </c>
      <c r="M9" s="262"/>
      <c r="N9" s="262"/>
    </row>
    <row r="10" spans="1:14" x14ac:dyDescent="0.25">
      <c r="B10" s="169" t="s">
        <v>74</v>
      </c>
      <c r="C10" s="175" t="s">
        <v>70</v>
      </c>
      <c r="D10" s="178">
        <v>36</v>
      </c>
      <c r="E10" s="173">
        <f>Forecasts!F10</f>
        <v>0</v>
      </c>
      <c r="F10" s="171">
        <f t="shared" si="1"/>
        <v>417.59447</v>
      </c>
      <c r="G10" s="171">
        <f t="shared" si="0"/>
        <v>36</v>
      </c>
      <c r="H10" s="171">
        <f>$D$9+D10</f>
        <v>278</v>
      </c>
      <c r="I10" s="171">
        <f>$D$11+D10</f>
        <v>373</v>
      </c>
      <c r="M10" s="262"/>
      <c r="N10" s="262"/>
    </row>
    <row r="11" spans="1:14" x14ac:dyDescent="0.25">
      <c r="B11" s="169" t="s">
        <v>161</v>
      </c>
      <c r="C11" s="175" t="s">
        <v>70</v>
      </c>
      <c r="D11" s="178">
        <v>337</v>
      </c>
      <c r="E11" s="173">
        <f>Forecasts!F18+Forecasts!F22</f>
        <v>6431372.0000000019</v>
      </c>
      <c r="F11" s="171">
        <f t="shared" si="1"/>
        <v>718.59447</v>
      </c>
      <c r="G11" s="171">
        <f t="shared" si="0"/>
        <v>337</v>
      </c>
      <c r="H11" s="171">
        <f>-$D$9+D11</f>
        <v>95</v>
      </c>
      <c r="I11" s="170" t="s">
        <v>191</v>
      </c>
      <c r="M11" s="262"/>
      <c r="N11" s="262"/>
    </row>
    <row r="12" spans="1:14" x14ac:dyDescent="0.25">
      <c r="B12" s="169" t="s">
        <v>61</v>
      </c>
      <c r="C12" s="175" t="s">
        <v>70</v>
      </c>
      <c r="D12" s="178">
        <v>2</v>
      </c>
      <c r="E12" s="173">
        <f>Forecasts!F28</f>
        <v>6663038</v>
      </c>
      <c r="F12" s="171">
        <f t="shared" si="1"/>
        <v>383.59447</v>
      </c>
      <c r="G12" s="171">
        <f t="shared" si="0"/>
        <v>2</v>
      </c>
      <c r="H12" s="171">
        <f>$D$9+D12</f>
        <v>244</v>
      </c>
      <c r="I12" s="171">
        <f>$D$11+D12</f>
        <v>339</v>
      </c>
      <c r="M12" s="262"/>
      <c r="N12" s="262"/>
    </row>
    <row r="13" spans="1:14" x14ac:dyDescent="0.25">
      <c r="B13" s="169" t="s">
        <v>192</v>
      </c>
      <c r="C13" s="188" t="s">
        <v>71</v>
      </c>
      <c r="D13" s="178">
        <v>24</v>
      </c>
      <c r="E13" s="173">
        <f>SUM(Forecasts!$F$16,Forecasts!$F$20,Forecasts!$F$21,Forecasts!$F$32)*'Reference VO 2017'!M24/SUM('Reference VO 2017'!$M$24:$M$35)</f>
        <v>4547891.9483895097</v>
      </c>
      <c r="F13" s="171">
        <f t="shared" si="1"/>
        <v>405.59447</v>
      </c>
      <c r="G13" s="171">
        <f t="shared" si="0"/>
        <v>24</v>
      </c>
      <c r="H13" s="171">
        <f t="shared" ref="H13:H18" si="2">$D$9-D13</f>
        <v>218</v>
      </c>
      <c r="I13" s="171">
        <f t="shared" ref="I13:I18" si="3">$D$11-D13</f>
        <v>313</v>
      </c>
      <c r="J13" s="171">
        <f t="shared" ref="J13:J19" si="4">$J$23+$D$23+D13</f>
        <v>262</v>
      </c>
      <c r="M13" s="262"/>
      <c r="N13" s="262"/>
    </row>
    <row r="14" spans="1:14" x14ac:dyDescent="0.25">
      <c r="B14" s="169" t="s">
        <v>98</v>
      </c>
      <c r="C14" s="175" t="s">
        <v>70</v>
      </c>
      <c r="D14" s="178">
        <v>78</v>
      </c>
      <c r="E14" s="173">
        <f>SUM(Forecasts!$F$16,Forecasts!$F$20,Forecasts!$F$21,Forecasts!$F$32)*'Reference VO 2017'!M25/SUM('Reference VO 2017'!$M$24:$M$35)</f>
        <v>0</v>
      </c>
      <c r="F14" s="171">
        <f t="shared" si="1"/>
        <v>459.59447</v>
      </c>
      <c r="G14" s="171">
        <f t="shared" si="0"/>
        <v>78</v>
      </c>
      <c r="H14" s="171">
        <f t="shared" si="2"/>
        <v>164</v>
      </c>
      <c r="I14" s="171">
        <f t="shared" si="3"/>
        <v>259</v>
      </c>
      <c r="J14" s="171">
        <f t="shared" si="4"/>
        <v>316</v>
      </c>
      <c r="M14" s="262"/>
      <c r="N14" s="262"/>
    </row>
    <row r="15" spans="1:14" x14ac:dyDescent="0.25">
      <c r="B15" s="169" t="s">
        <v>99</v>
      </c>
      <c r="C15" s="175" t="s">
        <v>70</v>
      </c>
      <c r="D15" s="178">
        <v>133</v>
      </c>
      <c r="E15" s="173">
        <f>SUM(Forecasts!$F$16,Forecasts!$F$20,Forecasts!$F$21,Forecasts!$F$32)*'Reference VO 2017'!M26/SUM('Reference VO 2017'!$M$24:$M$35)</f>
        <v>0</v>
      </c>
      <c r="F15" s="171">
        <f t="shared" si="1"/>
        <v>514.59447</v>
      </c>
      <c r="G15" s="171">
        <f t="shared" si="0"/>
        <v>133</v>
      </c>
      <c r="H15" s="171">
        <f t="shared" si="2"/>
        <v>109</v>
      </c>
      <c r="I15" s="171">
        <f t="shared" si="3"/>
        <v>204</v>
      </c>
      <c r="J15" s="171">
        <f t="shared" si="4"/>
        <v>371</v>
      </c>
      <c r="M15" s="262"/>
      <c r="N15" s="262"/>
    </row>
    <row r="16" spans="1:14" x14ac:dyDescent="0.25">
      <c r="B16" s="169" t="s">
        <v>100</v>
      </c>
      <c r="C16" s="175" t="s">
        <v>70</v>
      </c>
      <c r="D16" s="178">
        <v>185</v>
      </c>
      <c r="E16" s="173">
        <f>SUM(Forecasts!$F$16,Forecasts!$F$20,Forecasts!$F$21,Forecasts!$F$32)*'Reference VO 2017'!M27/SUM('Reference VO 2017'!$M$24:$M$35)</f>
        <v>0</v>
      </c>
      <c r="F16" s="171">
        <f t="shared" si="1"/>
        <v>566.59447</v>
      </c>
      <c r="G16" s="171">
        <f t="shared" si="0"/>
        <v>185</v>
      </c>
      <c r="H16" s="171">
        <f t="shared" si="2"/>
        <v>57</v>
      </c>
      <c r="I16" s="171">
        <f t="shared" si="3"/>
        <v>152</v>
      </c>
      <c r="J16" s="171">
        <f t="shared" si="4"/>
        <v>423</v>
      </c>
      <c r="M16" s="262"/>
      <c r="N16" s="262"/>
    </row>
    <row r="17" spans="2:14" x14ac:dyDescent="0.25">
      <c r="B17" s="169" t="s">
        <v>194</v>
      </c>
      <c r="C17" s="188" t="s">
        <v>71</v>
      </c>
      <c r="D17" s="178">
        <v>202</v>
      </c>
      <c r="E17" s="173">
        <f>SUM(Forecasts!$F$16,Forecasts!$F$20,Forecasts!$F$21,Forecasts!$F$32)*'Reference VO 2017'!M28/SUM('Reference VO 2017'!$M$24:$M$35)</f>
        <v>2333637.9089379874</v>
      </c>
      <c r="F17" s="171">
        <f t="shared" si="1"/>
        <v>583.59447</v>
      </c>
      <c r="G17" s="171">
        <f t="shared" si="0"/>
        <v>202</v>
      </c>
      <c r="H17" s="171">
        <f t="shared" si="2"/>
        <v>40</v>
      </c>
      <c r="I17" s="171">
        <f t="shared" si="3"/>
        <v>135</v>
      </c>
      <c r="J17" s="171">
        <f t="shared" si="4"/>
        <v>440</v>
      </c>
      <c r="M17" s="262"/>
      <c r="N17" s="262"/>
    </row>
    <row r="18" spans="2:14" x14ac:dyDescent="0.25">
      <c r="B18" s="169" t="s">
        <v>102</v>
      </c>
      <c r="C18" s="175" t="s">
        <v>70</v>
      </c>
      <c r="D18" s="178">
        <v>222</v>
      </c>
      <c r="E18" s="173">
        <f>SUM(Forecasts!$F$16,Forecasts!$F$20,Forecasts!$F$21,Forecasts!$F$32)*'Reference VO 2017'!M29/SUM('Reference VO 2017'!$M$24:$M$35)</f>
        <v>0</v>
      </c>
      <c r="F18" s="171">
        <f t="shared" si="1"/>
        <v>603.59447</v>
      </c>
      <c r="G18" s="171">
        <f t="shared" si="0"/>
        <v>222</v>
      </c>
      <c r="H18" s="171">
        <f t="shared" si="2"/>
        <v>20</v>
      </c>
      <c r="I18" s="171">
        <f t="shared" si="3"/>
        <v>115</v>
      </c>
      <c r="J18" s="171">
        <f t="shared" si="4"/>
        <v>460</v>
      </c>
      <c r="M18" s="262"/>
      <c r="N18" s="262"/>
    </row>
    <row r="19" spans="2:14" x14ac:dyDescent="0.25">
      <c r="B19" s="169" t="s">
        <v>103</v>
      </c>
      <c r="C19" s="175" t="s">
        <v>70</v>
      </c>
      <c r="D19" s="178">
        <v>0</v>
      </c>
      <c r="E19" s="173">
        <f>SUM(Forecasts!$F$16,Forecasts!$F$20,Forecasts!$F$21,Forecasts!$F$32)*'Reference VO 2017'!M30/SUM('Reference VO 2017'!$M$24:$M$35)</f>
        <v>21017332.683978602</v>
      </c>
      <c r="F19" s="171">
        <f>$D$5+D19+G19</f>
        <v>382.59447</v>
      </c>
      <c r="G19" s="170">
        <v>1</v>
      </c>
      <c r="H19" s="171">
        <f t="shared" ref="H19:H28" si="5">$D$9+D19</f>
        <v>242</v>
      </c>
      <c r="I19" s="171">
        <f t="shared" ref="I19:I28" si="6">$D$11+D19</f>
        <v>337</v>
      </c>
      <c r="J19" s="171">
        <f t="shared" si="4"/>
        <v>238</v>
      </c>
      <c r="M19" s="262"/>
      <c r="N19" s="262"/>
    </row>
    <row r="20" spans="2:14" x14ac:dyDescent="0.25">
      <c r="B20" s="169" t="s">
        <v>104</v>
      </c>
      <c r="C20" s="175" t="s">
        <v>70</v>
      </c>
      <c r="D20" s="180">
        <v>71.84778</v>
      </c>
      <c r="E20" s="173">
        <f>SUM(Forecasts!$F$16,Forecasts!$F$20,Forecasts!$F$21,Forecasts!$F$32)*'Reference VO 2017'!M31/SUM('Reference VO 2017'!$M$24:$M$35)</f>
        <v>1090465.9420136479</v>
      </c>
      <c r="F20" s="171">
        <f t="shared" ref="F20:F28" si="7">$D$5-D20</f>
        <v>309.74669</v>
      </c>
      <c r="G20" s="171">
        <f t="shared" si="0"/>
        <v>71.84778</v>
      </c>
      <c r="H20" s="171">
        <f t="shared" si="5"/>
        <v>313.84778</v>
      </c>
      <c r="I20" s="171">
        <f t="shared" si="6"/>
        <v>408.84778</v>
      </c>
      <c r="J20" s="171">
        <f>$J$23+$D$23-D20</f>
        <v>166.15222</v>
      </c>
      <c r="M20" s="262"/>
      <c r="N20" s="262"/>
    </row>
    <row r="21" spans="2:14" x14ac:dyDescent="0.25">
      <c r="B21" s="169" t="s">
        <v>105</v>
      </c>
      <c r="C21" s="175" t="s">
        <v>70</v>
      </c>
      <c r="D21" s="180">
        <v>137.48994999999999</v>
      </c>
      <c r="E21" s="173">
        <f>SUM(Forecasts!$F$16,Forecasts!$F$20,Forecasts!$F$21,Forecasts!$F$32)*'Reference VO 2017'!M32/SUM('Reference VO 2017'!$M$24:$M$35)</f>
        <v>163575.33625899124</v>
      </c>
      <c r="F21" s="171">
        <f t="shared" si="7"/>
        <v>244.10452000000001</v>
      </c>
      <c r="G21" s="171">
        <f t="shared" si="0"/>
        <v>137.48994999999999</v>
      </c>
      <c r="H21" s="171">
        <f t="shared" si="5"/>
        <v>379.48995000000002</v>
      </c>
      <c r="I21" s="171">
        <f t="shared" si="6"/>
        <v>474.48995000000002</v>
      </c>
      <c r="J21" s="171">
        <f>$J$23+$D$23-D21</f>
        <v>100.51005000000001</v>
      </c>
      <c r="M21" s="262"/>
      <c r="N21" s="262"/>
    </row>
    <row r="22" spans="2:14" x14ac:dyDescent="0.25">
      <c r="B22" s="169" t="s">
        <v>106</v>
      </c>
      <c r="C22" s="175" t="s">
        <v>70</v>
      </c>
      <c r="D22" s="180">
        <v>180.23273</v>
      </c>
      <c r="E22" s="173">
        <f>SUM(Forecasts!$F$16,Forecasts!$F$20,Forecasts!$F$21,Forecasts!$F$32)*'Reference VO 2017'!M33/SUM('Reference VO 2017'!$M$24:$M$35)</f>
        <v>217247.89562741638</v>
      </c>
      <c r="F22" s="171">
        <f t="shared" si="7"/>
        <v>201.36174</v>
      </c>
      <c r="G22" s="171">
        <f t="shared" si="0"/>
        <v>180.23273</v>
      </c>
      <c r="H22" s="171">
        <f t="shared" si="5"/>
        <v>422.23273</v>
      </c>
      <c r="I22" s="171">
        <f t="shared" si="6"/>
        <v>517.23272999999995</v>
      </c>
      <c r="J22" s="171">
        <f>$J$23+$D$23-D22</f>
        <v>57.767269999999996</v>
      </c>
      <c r="M22" s="262"/>
      <c r="N22" s="262"/>
    </row>
    <row r="23" spans="2:14" x14ac:dyDescent="0.25">
      <c r="B23" s="169" t="s">
        <v>107</v>
      </c>
      <c r="C23" s="175" t="s">
        <v>70</v>
      </c>
      <c r="D23" s="180">
        <v>210.69001</v>
      </c>
      <c r="E23" s="173">
        <f>SUM(Forecasts!$F$16,Forecasts!$F$20,Forecasts!$F$21,Forecasts!$F$32)*'Reference VO 2017'!M34/SUM('Reference VO 2017'!$M$24:$M$35)</f>
        <v>1915587.8498008142</v>
      </c>
      <c r="F23" s="171">
        <f t="shared" si="7"/>
        <v>170.90446</v>
      </c>
      <c r="G23" s="171">
        <f t="shared" si="0"/>
        <v>210.69001</v>
      </c>
      <c r="H23" s="171">
        <f t="shared" si="5"/>
        <v>452.69001000000003</v>
      </c>
      <c r="I23" s="171">
        <f t="shared" si="6"/>
        <v>547.69001000000003</v>
      </c>
      <c r="J23" s="171">
        <f>D8-D23</f>
        <v>27.309989999999999</v>
      </c>
      <c r="M23" s="262"/>
      <c r="N23" s="262"/>
    </row>
    <row r="24" spans="2:14" x14ac:dyDescent="0.25">
      <c r="B24" s="169" t="s">
        <v>108</v>
      </c>
      <c r="C24" s="175" t="s">
        <v>70</v>
      </c>
      <c r="D24" s="180">
        <v>231.34958</v>
      </c>
      <c r="E24" s="173">
        <f>SUM(Forecasts!$F$16,Forecasts!$F$20,Forecasts!$F$21,Forecasts!$F$32)*'Reference VO 2017'!M35/SUM('Reference VO 2017'!$M$24:$M$35)</f>
        <v>108365.43499303151</v>
      </c>
      <c r="F24" s="171">
        <f t="shared" si="7"/>
        <v>150.24489</v>
      </c>
      <c r="G24" s="171">
        <f t="shared" si="0"/>
        <v>231.34958</v>
      </c>
      <c r="H24" s="171">
        <f t="shared" si="5"/>
        <v>473.34958</v>
      </c>
      <c r="I24" s="171">
        <f t="shared" si="6"/>
        <v>568.34958000000006</v>
      </c>
      <c r="J24" s="171">
        <f>D8-D23+D24-D23</f>
        <v>47.96956000000003</v>
      </c>
      <c r="M24" s="262"/>
      <c r="N24" s="262"/>
    </row>
    <row r="25" spans="2:14" x14ac:dyDescent="0.25">
      <c r="B25" s="169" t="s">
        <v>109</v>
      </c>
      <c r="C25" s="175" t="s">
        <v>70</v>
      </c>
      <c r="D25" s="180">
        <v>268.73602</v>
      </c>
      <c r="E25" s="173">
        <f>Forecasts!$F$33*'Reference VO 2017'!M36/SUM('Reference VO 2017'!$M$36:$M$39)</f>
        <v>45835.098192090634</v>
      </c>
      <c r="F25" s="171">
        <f t="shared" si="7"/>
        <v>112.85845</v>
      </c>
      <c r="G25" s="171">
        <f t="shared" si="0"/>
        <v>268.73602</v>
      </c>
      <c r="H25" s="171">
        <f t="shared" si="5"/>
        <v>510.73602</v>
      </c>
      <c r="I25" s="171">
        <f t="shared" si="6"/>
        <v>605.73602000000005</v>
      </c>
      <c r="J25" s="171">
        <f>$D$8+D25-2*$D$23</f>
        <v>85.355999999999995</v>
      </c>
      <c r="M25" s="262"/>
      <c r="N25" s="262"/>
    </row>
    <row r="26" spans="2:14" x14ac:dyDescent="0.25">
      <c r="B26" s="169" t="s">
        <v>110</v>
      </c>
      <c r="C26" s="175" t="s">
        <v>70</v>
      </c>
      <c r="D26" s="180">
        <v>300.39652000000001</v>
      </c>
      <c r="E26" s="173">
        <f>Forecasts!$F$33*'Reference VO 2017'!M37/SUM('Reference VO 2017'!$M$36:$M$39)</f>
        <v>18278.263266867427</v>
      </c>
      <c r="F26" s="171">
        <f t="shared" si="7"/>
        <v>81.197949999999992</v>
      </c>
      <c r="G26" s="171">
        <f t="shared" si="0"/>
        <v>300.39652000000001</v>
      </c>
      <c r="H26" s="171">
        <f t="shared" si="5"/>
        <v>542.39652000000001</v>
      </c>
      <c r="I26" s="171">
        <f t="shared" si="6"/>
        <v>637.39652000000001</v>
      </c>
      <c r="J26" s="171">
        <f>$D$8+D26-2*$D$23</f>
        <v>117.01650000000001</v>
      </c>
      <c r="M26" s="262"/>
      <c r="N26" s="262"/>
    </row>
    <row r="27" spans="2:14" x14ac:dyDescent="0.25">
      <c r="B27" s="169" t="s">
        <v>111</v>
      </c>
      <c r="C27" s="175" t="s">
        <v>70</v>
      </c>
      <c r="D27" s="180">
        <v>320.51218999999998</v>
      </c>
      <c r="E27" s="173">
        <f>Forecasts!$F$33*'Reference VO 2017'!M38/SUM('Reference VO 2017'!$M$36:$M$39)</f>
        <v>91372.226330925187</v>
      </c>
      <c r="F27" s="171">
        <f t="shared" si="7"/>
        <v>61.082280000000026</v>
      </c>
      <c r="G27" s="171">
        <f t="shared" si="0"/>
        <v>320.51218999999998</v>
      </c>
      <c r="H27" s="171">
        <f t="shared" si="5"/>
        <v>562.51218999999992</v>
      </c>
      <c r="I27" s="171">
        <f t="shared" si="6"/>
        <v>657.51218999999992</v>
      </c>
      <c r="J27" s="171">
        <f>$D$8+D27-2*$D$23</f>
        <v>137.13216999999992</v>
      </c>
      <c r="M27" s="262"/>
      <c r="N27" s="262"/>
    </row>
    <row r="28" spans="2:14" x14ac:dyDescent="0.25">
      <c r="B28" s="169" t="s">
        <v>112</v>
      </c>
      <c r="C28" s="175" t="s">
        <v>70</v>
      </c>
      <c r="D28" s="180">
        <v>361.42469</v>
      </c>
      <c r="E28" s="173">
        <f>Forecasts!$F$33*'Reference VO 2017'!M39/SUM('Reference VO 2017'!$M$36:$M$39)</f>
        <v>236167.41221011674</v>
      </c>
      <c r="F28" s="171">
        <f t="shared" si="7"/>
        <v>20.169780000000003</v>
      </c>
      <c r="G28" s="171">
        <f t="shared" si="0"/>
        <v>361.42469</v>
      </c>
      <c r="H28" s="171">
        <f t="shared" si="5"/>
        <v>603.42469000000006</v>
      </c>
      <c r="I28" s="171">
        <f t="shared" si="6"/>
        <v>698.42469000000006</v>
      </c>
      <c r="J28" s="171">
        <f>$D$8+D28-2*$D$23</f>
        <v>178.04467000000005</v>
      </c>
      <c r="M28" s="262"/>
      <c r="N28" s="262"/>
    </row>
    <row r="29" spans="2:14" x14ac:dyDescent="0.25">
      <c r="B29" s="169" t="s">
        <v>193</v>
      </c>
      <c r="C29" s="175" t="s">
        <v>70</v>
      </c>
      <c r="D29" s="178">
        <v>334</v>
      </c>
      <c r="E29" s="173">
        <f>Forecasts!F25</f>
        <v>1765899.9999999998</v>
      </c>
      <c r="F29" s="171">
        <f>$D$5+D29</f>
        <v>715.59447</v>
      </c>
      <c r="G29" s="171">
        <f>D29</f>
        <v>334</v>
      </c>
      <c r="H29" s="171">
        <f>-$D$9+D29</f>
        <v>92</v>
      </c>
      <c r="I29" s="171">
        <f>$D$11-D29</f>
        <v>3</v>
      </c>
      <c r="M29" s="262"/>
      <c r="N29" s="262"/>
    </row>
    <row r="30" spans="2:14" x14ac:dyDescent="0.25">
      <c r="F30" s="37"/>
      <c r="G30" s="83"/>
      <c r="H30" s="37"/>
      <c r="I30" s="37"/>
      <c r="M30" s="262"/>
      <c r="N30" s="262"/>
    </row>
    <row r="31" spans="2:14" x14ac:dyDescent="0.25">
      <c r="F31" s="37"/>
      <c r="G31" s="83"/>
      <c r="H31" s="37"/>
      <c r="I31" s="37"/>
      <c r="M31" s="262"/>
      <c r="N31" s="262"/>
    </row>
    <row r="32" spans="2:14" x14ac:dyDescent="0.25">
      <c r="H32" s="37"/>
      <c r="I32" s="37"/>
    </row>
    <row r="33" spans="6:9" x14ac:dyDescent="0.25">
      <c r="H33" s="37"/>
      <c r="I33" s="37"/>
    </row>
    <row r="34" spans="6:9" x14ac:dyDescent="0.25">
      <c r="F34" s="37"/>
      <c r="G34" s="83"/>
      <c r="H34" s="37"/>
      <c r="I34" s="37"/>
    </row>
    <row r="35" spans="6:9" x14ac:dyDescent="0.25">
      <c r="F35" s="37"/>
      <c r="G35" s="83"/>
      <c r="H35" s="37"/>
      <c r="I35" s="37"/>
    </row>
    <row r="36" spans="6:9" x14ac:dyDescent="0.25">
      <c r="F36" s="37"/>
      <c r="G36" s="83"/>
      <c r="H36" s="37"/>
      <c r="I36" s="37"/>
    </row>
    <row r="37" spans="6:9" x14ac:dyDescent="0.25">
      <c r="F37" s="37"/>
      <c r="G37" s="83"/>
      <c r="H37" s="37"/>
      <c r="I37" s="37"/>
    </row>
    <row r="38" spans="6:9" x14ac:dyDescent="0.25">
      <c r="F38" s="37"/>
      <c r="G38" s="83"/>
      <c r="H38" s="37"/>
      <c r="I38" s="37"/>
    </row>
    <row r="39" spans="6:9" x14ac:dyDescent="0.25">
      <c r="F39" s="37"/>
      <c r="G39" s="83"/>
      <c r="H39" s="37"/>
      <c r="I39" s="37"/>
    </row>
    <row r="40" spans="6:9" x14ac:dyDescent="0.25">
      <c r="F40" s="37"/>
      <c r="G40" s="83"/>
      <c r="H40" s="37"/>
      <c r="I40" s="37"/>
    </row>
    <row r="41" spans="6:9" x14ac:dyDescent="0.25">
      <c r="F41" s="37"/>
      <c r="G41" s="83"/>
      <c r="H41" s="37"/>
      <c r="I41" s="37"/>
    </row>
    <row r="42" spans="6:9" x14ac:dyDescent="0.25">
      <c r="F42" s="37"/>
      <c r="G42" s="83"/>
      <c r="H42" s="37"/>
      <c r="I42" s="37"/>
    </row>
    <row r="43" spans="6:9" x14ac:dyDescent="0.25">
      <c r="F43" s="37"/>
      <c r="G43" s="83"/>
      <c r="H43" s="37"/>
      <c r="I43" s="37"/>
    </row>
    <row r="44" spans="6:9" x14ac:dyDescent="0.25">
      <c r="F44" s="37"/>
      <c r="G44" s="83"/>
      <c r="H44" s="37"/>
      <c r="I44" s="37"/>
    </row>
    <row r="45" spans="6:9" x14ac:dyDescent="0.25">
      <c r="F45" s="37"/>
      <c r="G45" s="83"/>
      <c r="H45" s="37"/>
      <c r="I45" s="37"/>
    </row>
    <row r="46" spans="6:9" x14ac:dyDescent="0.25">
      <c r="F46" s="37"/>
      <c r="G46" s="83"/>
      <c r="H46" s="37"/>
      <c r="I46" s="37"/>
    </row>
    <row r="47" spans="6:9" x14ac:dyDescent="0.25">
      <c r="F47" s="37"/>
      <c r="G47" s="83"/>
      <c r="H47" s="37"/>
      <c r="I47" s="37"/>
    </row>
    <row r="48" spans="6:9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tabColor rgb="FF00486A"/>
  </sheetPr>
  <dimension ref="A1"/>
  <sheetViews>
    <sheetView workbookViewId="0">
      <selection activeCell="F5" sqref="F5"/>
    </sheetView>
  </sheetViews>
  <sheetFormatPr baseColWidth="10" defaultColWidth="10.85546875" defaultRowHeight="15" x14ac:dyDescent="0.25"/>
  <cols>
    <col min="1" max="16384" width="10.85546875" style="262"/>
  </cols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2">
    <tabColor rgb="FFB1A0C7"/>
  </sheetPr>
  <dimension ref="A1:O15"/>
  <sheetViews>
    <sheetView zoomScaleNormal="100" workbookViewId="0">
      <selection activeCell="F5" sqref="F5"/>
    </sheetView>
  </sheetViews>
  <sheetFormatPr baseColWidth="10" defaultColWidth="11.42578125" defaultRowHeight="15" x14ac:dyDescent="0.25"/>
  <cols>
    <col min="1" max="1" width="4.85546875" customWidth="1"/>
    <col min="2" max="2" width="23.42578125" bestFit="1" customWidth="1"/>
    <col min="3" max="3" width="24" customWidth="1"/>
    <col min="4" max="4" width="15.5703125" customWidth="1"/>
    <col min="5" max="5" width="15.140625" customWidth="1"/>
    <col min="6" max="9" width="16.5703125" style="262" customWidth="1"/>
    <col min="10" max="10" width="16.5703125" customWidth="1"/>
    <col min="11" max="11" width="21.42578125" customWidth="1"/>
  </cols>
  <sheetData>
    <row r="1" spans="1:15" x14ac:dyDescent="0.25">
      <c r="B1" s="211"/>
    </row>
    <row r="2" spans="1:15" ht="19.350000000000001" customHeight="1" x14ac:dyDescent="0.25">
      <c r="A2" s="213"/>
      <c r="B2" s="212" t="s">
        <v>214</v>
      </c>
      <c r="D2" s="622" t="s">
        <v>69</v>
      </c>
      <c r="E2" s="622"/>
      <c r="F2" s="622"/>
      <c r="G2" s="622"/>
      <c r="H2" s="622"/>
      <c r="I2" s="622"/>
      <c r="J2" s="622"/>
      <c r="K2" s="622"/>
      <c r="L2" s="622"/>
    </row>
    <row r="3" spans="1:15" ht="33.75" customHeight="1" thickBot="1" x14ac:dyDescent="0.3">
      <c r="C3" s="294"/>
      <c r="D3" s="249" t="str">
        <f>CAA!E4</f>
        <v>Exit East</v>
      </c>
      <c r="E3" s="290" t="str">
        <f>CAA!F4</f>
        <v>Exit West</v>
      </c>
      <c r="F3" s="290" t="str">
        <f>CAA!H4</f>
        <v>Exit Arnoldstein</v>
      </c>
      <c r="G3" s="290" t="str">
        <f>CAA!I4</f>
        <v>Exit Murfeld</v>
      </c>
      <c r="H3" s="290" t="str">
        <f>CAA!J4</f>
        <v>Exit Storage</v>
      </c>
      <c r="I3" s="290" t="str">
        <f>CAA!K4</f>
        <v>Exit VG-Kärnten</v>
      </c>
      <c r="J3" s="290" t="str">
        <f>CAA!L4</f>
        <v>Exit VG1</v>
      </c>
      <c r="K3" s="623" t="s">
        <v>212</v>
      </c>
      <c r="L3" s="623" t="s">
        <v>213</v>
      </c>
    </row>
    <row r="4" spans="1:15" ht="48" customHeight="1" thickBot="1" x14ac:dyDescent="0.3">
      <c r="B4" s="293"/>
      <c r="C4" s="288" t="s">
        <v>372</v>
      </c>
      <c r="D4" s="355">
        <f>'Reference VO 2017'!G11+'Reference VO 2017'!G14+'Reference VO 2017'!G15</f>
        <v>14347891.061722174</v>
      </c>
      <c r="E4" s="215">
        <f>'Reference VO 2017'!G12+'Reference VO 2017'!G18+'Reference VO 2017'!G22</f>
        <v>21304836.004296184</v>
      </c>
      <c r="F4" s="215">
        <f>'Reference VO 2017'!G31</f>
        <v>43571929</v>
      </c>
      <c r="G4" s="215">
        <f>'Reference VO 2017'!G13</f>
        <v>1810849.9747649301</v>
      </c>
      <c r="H4" s="215">
        <f>'Reference VO 2017'!G25+'Reference VO 2017'!G28</f>
        <v>8428938</v>
      </c>
      <c r="I4" s="215">
        <f>'Reference VO 2017'!G33</f>
        <v>391653</v>
      </c>
      <c r="J4" s="356">
        <f>'Reference VO 2017'!G32+'Reference VO 2017'!G16+'Reference VO 2017'!G20+'Reference VO 2017'!G21</f>
        <v>31394105</v>
      </c>
      <c r="K4" s="625"/>
      <c r="L4" s="624"/>
    </row>
    <row r="5" spans="1:15" ht="13.7" customHeight="1" x14ac:dyDescent="0.25">
      <c r="A5" s="621" t="s">
        <v>57</v>
      </c>
      <c r="B5" s="221" t="str">
        <f>CAA!C6</f>
        <v>Arnoldstein</v>
      </c>
      <c r="C5" s="352">
        <f>'Reference VO 2017'!G30+'Reference VO 2017'!G34</f>
        <v>521331</v>
      </c>
      <c r="D5" s="254">
        <f>D6+F6</f>
        <v>402.16178878422176</v>
      </c>
      <c r="E5" s="342">
        <f>E6+F6</f>
        <v>652.27248187846715</v>
      </c>
      <c r="F5" s="342">
        <f>CAA!H6</f>
        <v>0</v>
      </c>
      <c r="G5" s="342">
        <f>CAA!I6</f>
        <v>198.21445</v>
      </c>
      <c r="H5" s="342">
        <f>H6+F6</f>
        <v>453.14994662113543</v>
      </c>
      <c r="I5" s="342">
        <f>F6-I6</f>
        <v>43.410121471821753</v>
      </c>
      <c r="J5" s="216">
        <f>SUMPRODUCT(Distances!E13:E24,Distances!F13:F24)/SUM(Distances!E13:E24)</f>
        <v>382.64254487678903</v>
      </c>
      <c r="K5" s="344">
        <f>SUMPRODUCT(D5:J5,$D$4:$J$4)/SUMIF(D5:J5,"&lt;&gt;0",$D$4:$J$4)</f>
        <v>461.84038031524335</v>
      </c>
      <c r="L5" s="345">
        <f>C5*K5/SUMPRODUCT($C$5:$C$13,$K$5:$K$13)</f>
        <v>9.5514798905970335E-3</v>
      </c>
      <c r="N5" s="37"/>
    </row>
    <row r="6" spans="1:15" x14ac:dyDescent="0.25">
      <c r="A6" s="621"/>
      <c r="B6" s="340" t="str">
        <f>CAA!C7</f>
        <v>Baumgarten</v>
      </c>
      <c r="C6" s="353">
        <f>'Reference VO 2017'!G5+'Reference VO 2017'!G29</f>
        <v>67288392.5</v>
      </c>
      <c r="D6" s="256">
        <f>CAA!E7</f>
        <v>20.567318784221769</v>
      </c>
      <c r="E6" s="295">
        <f>CAA!F7</f>
        <v>270.67801187846715</v>
      </c>
      <c r="F6" s="295">
        <f>CAA!H7</f>
        <v>381.59447</v>
      </c>
      <c r="G6" s="295">
        <f>CAA!I7</f>
        <v>238</v>
      </c>
      <c r="H6" s="295">
        <f>CAA!J7</f>
        <v>71.555476621135412</v>
      </c>
      <c r="I6" s="295">
        <f>CAA!K7</f>
        <v>338.18434852817825</v>
      </c>
      <c r="J6" s="222">
        <f>CAA!L7</f>
        <v>37.275145170465059</v>
      </c>
      <c r="K6" s="346">
        <f t="shared" ref="K6:K13" si="0">SUMPRODUCT(D6:J6,$D$4:$J$4)/SUMIF(D6:J6,"&lt;&gt;0",$D$4:$J$4)</f>
        <v>206.39508009745455</v>
      </c>
      <c r="L6" s="347">
        <f t="shared" ref="L6:L13" si="1">C6*K6/SUMPRODUCT($C$5:$C$13,$K$5:$K$13)</f>
        <v>0.55094051069066141</v>
      </c>
      <c r="N6" s="37"/>
    </row>
    <row r="7" spans="1:15" x14ac:dyDescent="0.25">
      <c r="A7" s="621"/>
      <c r="B7" s="214" t="str">
        <f>CAA!C8</f>
        <v>Mosonmagyarovar</v>
      </c>
      <c r="C7" s="353">
        <f>'Reference VO 2017'!G8</f>
        <v>0</v>
      </c>
      <c r="D7" s="256">
        <f>CAA!E8</f>
        <v>25.432681215778231</v>
      </c>
      <c r="E7" s="295">
        <f>CAA!F8</f>
        <v>316.67801187846715</v>
      </c>
      <c r="F7" s="295">
        <f>CAA!H8</f>
        <v>427.59447</v>
      </c>
      <c r="G7" s="295">
        <f>CAA!I8</f>
        <v>284</v>
      </c>
      <c r="H7" s="295">
        <f>CAA!J8</f>
        <v>117.55547662113541</v>
      </c>
      <c r="I7" s="295">
        <f>CAA!K8</f>
        <v>384.18434852817825</v>
      </c>
      <c r="J7" s="222">
        <f>CAA!L8</f>
        <v>83.275145170465066</v>
      </c>
      <c r="K7" s="346">
        <f t="shared" si="0"/>
        <v>247.52749811604943</v>
      </c>
      <c r="L7" s="347">
        <f t="shared" si="1"/>
        <v>0</v>
      </c>
      <c r="N7" s="37"/>
    </row>
    <row r="8" spans="1:15" x14ac:dyDescent="0.25">
      <c r="A8" s="621"/>
      <c r="B8" s="341" t="str">
        <f>CAA!C9</f>
        <v>Murfeld</v>
      </c>
      <c r="C8" s="353">
        <f>'Reference VO 2017'!G9</f>
        <v>0</v>
      </c>
      <c r="D8" s="256">
        <f>CAA!E9</f>
        <v>258.56731878422175</v>
      </c>
      <c r="E8" s="295">
        <f>CAA!F9</f>
        <v>508.67801187846715</v>
      </c>
      <c r="F8" s="295">
        <f>CAA!H9</f>
        <v>198.21445</v>
      </c>
      <c r="G8" s="295">
        <f>CAA!I9</f>
        <v>0</v>
      </c>
      <c r="H8" s="295">
        <f>CAA!J9</f>
        <v>309.55547662113543</v>
      </c>
      <c r="I8" s="295">
        <f>CAA!K9</f>
        <v>154.80432852817825</v>
      </c>
      <c r="J8" s="222">
        <f>CAA!L9</f>
        <v>214.98403148352875</v>
      </c>
      <c r="K8" s="346">
        <f t="shared" si="0"/>
        <v>272.96588167734961</v>
      </c>
      <c r="L8" s="347">
        <f>C8*K8/SUMPRODUCT($C$5:$C$13,$K$5:$K$13)</f>
        <v>0</v>
      </c>
      <c r="N8" s="37"/>
    </row>
    <row r="9" spans="1:15" x14ac:dyDescent="0.25">
      <c r="A9" s="621"/>
      <c r="B9" s="341" t="str">
        <f>CAA!C10</f>
        <v>Oberkappel</v>
      </c>
      <c r="C9" s="353">
        <f>'Reference VO 2017'!G6</f>
        <v>10319273.196481112</v>
      </c>
      <c r="D9" s="256">
        <f>CAA!E10</f>
        <v>262.56731878422175</v>
      </c>
      <c r="E9" s="295">
        <f>CAA!F10</f>
        <v>28.678011878467146</v>
      </c>
      <c r="F9" s="295">
        <f>CAA!H10</f>
        <v>623.59447</v>
      </c>
      <c r="G9" s="295">
        <f>CAA!I10</f>
        <v>480</v>
      </c>
      <c r="H9" s="295">
        <f>CAA!J10</f>
        <v>212.1553239565886</v>
      </c>
      <c r="I9" s="295">
        <f>CAA!K10</f>
        <v>580.18434852817825</v>
      </c>
      <c r="J9" s="222">
        <f>CAA!L10</f>
        <v>241.62139261349225</v>
      </c>
      <c r="K9" s="346">
        <f t="shared" si="0"/>
        <v>346.55325320018039</v>
      </c>
      <c r="L9" s="347">
        <f t="shared" si="1"/>
        <v>0.14186795341847896</v>
      </c>
      <c r="N9" s="37"/>
    </row>
    <row r="10" spans="1:15" x14ac:dyDescent="0.25">
      <c r="A10" s="621"/>
      <c r="B10" s="340" t="str">
        <f>CAA!C11</f>
        <v>Storage 7-fields</v>
      </c>
      <c r="C10" s="353">
        <f>'Reference VO 2017'!G26</f>
        <v>1765899.9999999998</v>
      </c>
      <c r="D10" s="256">
        <f>CAA!E11</f>
        <v>354.56731878422175</v>
      </c>
      <c r="E10" s="295">
        <f>CAA!F11</f>
        <v>65.133230977015003</v>
      </c>
      <c r="F10" s="295">
        <f>CAA!H11</f>
        <v>715.59447</v>
      </c>
      <c r="G10" s="295">
        <f>CAA!I11</f>
        <v>572</v>
      </c>
      <c r="H10" s="295">
        <f>CAA!J11</f>
        <v>270.34947890232434</v>
      </c>
      <c r="I10" s="295">
        <f>CAA!K11</f>
        <v>672.18434852817825</v>
      </c>
      <c r="J10" s="222">
        <f>CAA!L11</f>
        <v>333.62139261349228</v>
      </c>
      <c r="K10" s="346">
        <f t="shared" si="0"/>
        <v>426.44341919342025</v>
      </c>
      <c r="L10" s="347">
        <f t="shared" si="1"/>
        <v>2.9873955979920885E-2</v>
      </c>
      <c r="N10" s="37"/>
      <c r="O10" s="121"/>
    </row>
    <row r="11" spans="1:15" x14ac:dyDescent="0.25">
      <c r="A11" s="621"/>
      <c r="B11" s="214" t="str">
        <f>CAA!C12</f>
        <v>Storage MAB</v>
      </c>
      <c r="C11" s="353">
        <f>'Reference VO 2017'!G27</f>
        <v>6663038</v>
      </c>
      <c r="D11" s="256">
        <f>CAA!E12</f>
        <v>18.567318784221769</v>
      </c>
      <c r="E11" s="295">
        <f>CAA!F12</f>
        <v>272.67801187846715</v>
      </c>
      <c r="F11" s="295">
        <f>CAA!H12</f>
        <v>383.59447</v>
      </c>
      <c r="G11" s="295">
        <f>CAA!I12</f>
        <v>240</v>
      </c>
      <c r="H11" s="295">
        <f>CAA!J12</f>
        <v>70.393494411751504</v>
      </c>
      <c r="I11" s="295">
        <f>CAA!K12</f>
        <v>340.18434852817825</v>
      </c>
      <c r="J11" s="222">
        <f>CAA!L12</f>
        <v>39.275145170465059</v>
      </c>
      <c r="K11" s="346">
        <f t="shared" si="0"/>
        <v>207.70193720092877</v>
      </c>
      <c r="L11" s="347">
        <f t="shared" si="1"/>
        <v>5.4900721326136138E-2</v>
      </c>
      <c r="N11" s="37"/>
    </row>
    <row r="12" spans="1:15" x14ac:dyDescent="0.25">
      <c r="A12" s="621"/>
      <c r="B12" s="341" t="str">
        <f>CAA!C13</f>
        <v>Überackern</v>
      </c>
      <c r="C12" s="353">
        <f>'Reference VO 2017'!G7+'Reference VO 2017'!G19</f>
        <v>5668811.2280670945</v>
      </c>
      <c r="D12" s="256">
        <f>CAA!E13</f>
        <v>357.56731878422175</v>
      </c>
      <c r="E12" s="295">
        <f>CAA!F13</f>
        <v>66.321988121532854</v>
      </c>
      <c r="F12" s="295">
        <f>CAA!H13</f>
        <v>718.59447</v>
      </c>
      <c r="G12" s="295">
        <f>CAA!I13</f>
        <v>575</v>
      </c>
      <c r="H12" s="295">
        <f>CAA!J13</f>
        <v>408.55547662113543</v>
      </c>
      <c r="I12" s="295">
        <f>CAA!K13</f>
        <v>675.18434852817825</v>
      </c>
      <c r="J12" s="222">
        <f>CAA!L13</f>
        <v>336.62139261349228</v>
      </c>
      <c r="K12" s="346">
        <f t="shared" si="0"/>
        <v>438.52426789691077</v>
      </c>
      <c r="L12" s="347">
        <f t="shared" si="1"/>
        <v>9.8616785153949615E-2</v>
      </c>
      <c r="N12" s="37"/>
    </row>
    <row r="13" spans="1:15" ht="15.75" thickBot="1" x14ac:dyDescent="0.3">
      <c r="A13" s="621"/>
      <c r="B13" s="341" t="str">
        <f>CAA!C15</f>
        <v>Verteilergebiet</v>
      </c>
      <c r="C13" s="354">
        <f>'Reference VO 2017'!G17</f>
        <v>10848000</v>
      </c>
      <c r="D13" s="255">
        <f>CAA!E15</f>
        <v>20.567318784221769</v>
      </c>
      <c r="E13" s="343">
        <f>CAA!F15</f>
        <v>270.67801187846715</v>
      </c>
      <c r="F13" s="343">
        <f>CAA!H15</f>
        <v>381.59447</v>
      </c>
      <c r="G13" s="343">
        <f>CAA!I15</f>
        <v>238</v>
      </c>
      <c r="H13" s="343">
        <f>CAA!J15</f>
        <v>71.555476621135412</v>
      </c>
      <c r="I13" s="343">
        <f>CAA!K15</f>
        <v>338.18434852817825</v>
      </c>
      <c r="J13" s="218">
        <f>CAA!L15</f>
        <v>0</v>
      </c>
      <c r="K13" s="348">
        <f t="shared" si="0"/>
        <v>265.48254516152576</v>
      </c>
      <c r="L13" s="349">
        <f t="shared" si="1"/>
        <v>0.11424859354025606</v>
      </c>
      <c r="N13" s="37"/>
    </row>
    <row r="14" spans="1:15" ht="13.7" customHeight="1" x14ac:dyDescent="0.25">
      <c r="A14" s="621"/>
      <c r="B14" s="628" t="s">
        <v>215</v>
      </c>
      <c r="C14" s="629"/>
      <c r="D14" s="220">
        <f>SUMPRODUCT($C$5:$C$13,D5:D13)/SUMIF(D5:D13,"&lt;&gt;0",$C$5:$C$13)</f>
        <v>70.851944776321474</v>
      </c>
      <c r="E14" s="217">
        <f t="shared" ref="E14:J14" si="2">SUMPRODUCT($C$5:$C$13,E5:E13)/SUMIF(E5:E13,"&lt;&gt;0",$C$5:$C$13)</f>
        <v>233.74919650903092</v>
      </c>
      <c r="F14" s="217">
        <f t="shared" si="2"/>
        <v>430.45476565269604</v>
      </c>
      <c r="G14" s="217">
        <f t="shared" si="2"/>
        <v>286.41194308150665</v>
      </c>
      <c r="H14" s="217">
        <f t="shared" si="2"/>
        <v>109.42627230959222</v>
      </c>
      <c r="I14" s="217">
        <f t="shared" si="2"/>
        <v>385.30661099193429</v>
      </c>
      <c r="J14" s="223">
        <f t="shared" si="2"/>
        <v>86.310126547134544</v>
      </c>
    </row>
    <row r="15" spans="1:15" ht="15.75" thickBot="1" x14ac:dyDescent="0.3">
      <c r="A15" s="621"/>
      <c r="B15" s="626" t="s">
        <v>216</v>
      </c>
      <c r="C15" s="627"/>
      <c r="D15" s="350">
        <f>D14*D4/SUMPRODUCT($D$14:$J$14,$D$4:$J$4)</f>
        <v>3.4989383798237683E-2</v>
      </c>
      <c r="E15" s="219">
        <f t="shared" ref="E15:J15" si="3">E14*E4/SUMPRODUCT($D$14:$J$14,$D$4:$J$4)</f>
        <v>0.17140550672496216</v>
      </c>
      <c r="F15" s="219">
        <f t="shared" si="3"/>
        <v>0.64555129360393826</v>
      </c>
      <c r="G15" s="219">
        <f t="shared" si="3"/>
        <v>1.7851307997012001E-2</v>
      </c>
      <c r="H15" s="219">
        <f t="shared" si="3"/>
        <v>3.17461389180934E-2</v>
      </c>
      <c r="I15" s="219">
        <f t="shared" si="3"/>
        <v>5.194028953410759E-3</v>
      </c>
      <c r="J15" s="351">
        <f t="shared" si="3"/>
        <v>9.3262340004345801E-2</v>
      </c>
    </row>
  </sheetData>
  <mergeCells count="6">
    <mergeCell ref="A5:A15"/>
    <mergeCell ref="D2:L2"/>
    <mergeCell ref="L3:L4"/>
    <mergeCell ref="K3:K4"/>
    <mergeCell ref="B15:C15"/>
    <mergeCell ref="B14:C14"/>
  </mergeCells>
  <conditionalFormatting sqref="D5:J13">
    <cfRule type="cellIs" dxfId="2" priority="1" operator="equal">
      <formula>0</formula>
    </cfRule>
    <cfRule type="containsText" dxfId="1" priority="2" operator="containsText" text="x">
      <formula>NOT(ISERROR(SEARCH("x",D5)))</formula>
    </cfRule>
  </conditionalFormatting>
  <conditionalFormatting sqref="D4:J4">
    <cfRule type="expression" dxfId="0" priority="14">
      <formula>#REF!="technical"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>
    <tabColor rgb="FFB1A0C7"/>
  </sheetPr>
  <dimension ref="A2:S30"/>
  <sheetViews>
    <sheetView zoomScaleNormal="100" workbookViewId="0">
      <pane xSplit="1" topLeftCell="C1" activePane="topRight" state="frozen"/>
      <selection activeCell="F5" sqref="F5"/>
      <selection pane="topRight" activeCell="F5" sqref="F5"/>
    </sheetView>
  </sheetViews>
  <sheetFormatPr baseColWidth="10" defaultColWidth="11.42578125" defaultRowHeight="15" x14ac:dyDescent="0.25"/>
  <cols>
    <col min="1" max="1" width="19.5703125" bestFit="1" customWidth="1"/>
    <col min="2" max="3" width="19.42578125" customWidth="1"/>
    <col min="4" max="4" width="19" customWidth="1"/>
    <col min="5" max="5" width="14.42578125" customWidth="1"/>
    <col min="6" max="6" width="16.85546875" customWidth="1"/>
    <col min="7" max="7" width="15.42578125" customWidth="1"/>
    <col min="8" max="8" width="17.42578125" bestFit="1" customWidth="1"/>
    <col min="9" max="9" width="13.42578125" bestFit="1" customWidth="1"/>
    <col min="10" max="10" width="13.85546875" bestFit="1" customWidth="1"/>
    <col min="11" max="11" width="10.140625" customWidth="1"/>
    <col min="12" max="12" width="21.42578125" customWidth="1"/>
    <col min="15" max="15" width="12.42578125" style="262" bestFit="1" customWidth="1"/>
    <col min="16" max="16" width="15.85546875" customWidth="1"/>
    <col min="18" max="18" width="16" customWidth="1"/>
    <col min="19" max="19" width="6.42578125" customWidth="1"/>
  </cols>
  <sheetData>
    <row r="2" spans="1:19" ht="30" x14ac:dyDescent="0.25">
      <c r="A2" s="258"/>
      <c r="B2" s="259"/>
      <c r="C2" s="260"/>
      <c r="D2" s="206" t="s">
        <v>209</v>
      </c>
      <c r="E2" s="636" t="s">
        <v>210</v>
      </c>
      <c r="F2" s="637"/>
      <c r="G2" s="248" t="s">
        <v>211</v>
      </c>
      <c r="H2" s="248" t="s">
        <v>298</v>
      </c>
      <c r="I2" s="290" t="s">
        <v>299</v>
      </c>
    </row>
    <row r="3" spans="1:19" x14ac:dyDescent="0.25">
      <c r="A3" s="41"/>
      <c r="B3" s="41"/>
      <c r="C3" s="41"/>
      <c r="D3" s="357">
        <f>Overview!C16/10^6</f>
        <v>431</v>
      </c>
      <c r="E3" s="207">
        <v>0.5</v>
      </c>
      <c r="F3" s="208">
        <f>1-E3</f>
        <v>0.5</v>
      </c>
      <c r="G3" s="41">
        <f>discount_DZK</f>
        <v>0.1</v>
      </c>
      <c r="H3" s="41">
        <f>discount_storage_entry</f>
        <v>1</v>
      </c>
      <c r="I3">
        <f>discount_storage_exit</f>
        <v>0.5</v>
      </c>
    </row>
    <row r="4" spans="1:19" x14ac:dyDescent="0.25">
      <c r="A4" s="41"/>
      <c r="B4" s="207"/>
      <c r="C4" s="208"/>
      <c r="D4" s="41"/>
      <c r="E4" s="209"/>
      <c r="F4" s="210"/>
      <c r="G4" s="225"/>
      <c r="H4" s="226"/>
      <c r="I4" s="29"/>
    </row>
    <row r="5" spans="1:19" x14ac:dyDescent="0.25">
      <c r="A5" s="41"/>
      <c r="B5" s="207"/>
      <c r="C5" s="208"/>
      <c r="D5" s="41"/>
      <c r="E5" s="209"/>
      <c r="F5" s="210"/>
      <c r="G5" s="225"/>
      <c r="H5" s="226"/>
      <c r="I5" s="29"/>
    </row>
    <row r="6" spans="1:19" ht="15.75" x14ac:dyDescent="0.25">
      <c r="A6" s="227" t="s">
        <v>57</v>
      </c>
      <c r="B6" s="227"/>
      <c r="C6" s="227"/>
    </row>
    <row r="8" spans="1:19" s="229" customFormat="1" ht="60.75" thickBot="1" x14ac:dyDescent="0.3">
      <c r="A8" s="252" t="s">
        <v>68</v>
      </c>
      <c r="B8" s="251" t="s">
        <v>50</v>
      </c>
      <c r="C8" s="253" t="s">
        <v>217</v>
      </c>
      <c r="D8" s="253" t="s">
        <v>218</v>
      </c>
      <c r="E8" s="253" t="s">
        <v>219</v>
      </c>
      <c r="F8" s="251" t="s">
        <v>220</v>
      </c>
      <c r="G8" s="253" t="s">
        <v>221</v>
      </c>
      <c r="H8" s="252" t="s">
        <v>222</v>
      </c>
      <c r="I8" s="253" t="s">
        <v>223</v>
      </c>
      <c r="J8" s="253" t="s">
        <v>224</v>
      </c>
      <c r="K8"/>
      <c r="L8" s="253" t="s">
        <v>50</v>
      </c>
      <c r="M8" s="253" t="s">
        <v>225</v>
      </c>
      <c r="N8" s="253" t="s">
        <v>226</v>
      </c>
      <c r="O8" s="289" t="s">
        <v>217</v>
      </c>
      <c r="P8" s="228" t="s">
        <v>227</v>
      </c>
      <c r="Q8" s="228" t="s">
        <v>228</v>
      </c>
      <c r="R8" s="250" t="s">
        <v>229</v>
      </c>
    </row>
    <row r="9" spans="1:19" x14ac:dyDescent="0.25">
      <c r="A9" s="257" t="s">
        <v>56</v>
      </c>
      <c r="B9" s="236" t="s">
        <v>302</v>
      </c>
      <c r="C9" s="237">
        <f>VLOOKUP($A9,'CWD Weights'!$B$5:$L$13,2,FALSE)</f>
        <v>521331</v>
      </c>
      <c r="D9" s="237">
        <f>VLOOKUP($A9,'CWD Weights'!$B$5:$L$13,10,FALSE)</f>
        <v>461.84038031524335</v>
      </c>
      <c r="E9" s="296">
        <f>VLOOKUP($A9,'CWD Weights'!$B$5:$L$13,11,FALSE)</f>
        <v>9.5514798905970335E-3</v>
      </c>
      <c r="F9" s="302">
        <f>E9*$D$3*$E$3</f>
        <v>2.0583439164236608</v>
      </c>
      <c r="G9" s="303">
        <f>IF(C9=0,"n.a.",F9*10^6/C9)</f>
        <v>3.9482476899007746</v>
      </c>
      <c r="H9" s="638" t="str">
        <f>B11</f>
        <v>Entry cluster</v>
      </c>
      <c r="I9" s="638">
        <f>D3*E3</f>
        <v>215.5</v>
      </c>
      <c r="J9" s="641">
        <f>I9/SUM(C9:C17)*10^6</f>
        <v>2.0907158011114406</v>
      </c>
      <c r="L9" s="320" t="str">
        <f>B9</f>
        <v>Entry cluster</v>
      </c>
      <c r="M9" s="321">
        <v>0</v>
      </c>
      <c r="N9" s="322">
        <f>J9*(1-M9)</f>
        <v>2.0907158011114406</v>
      </c>
      <c r="O9" s="237">
        <f>SUM(CAA!P7:P10,CAA!P13,CAA!P15)*1000</f>
        <v>90767476.924548209</v>
      </c>
      <c r="P9" s="644">
        <f>(SUMPRODUCT(N9:N11,O9:O11)/10^6)</f>
        <v>197.06663734644732</v>
      </c>
      <c r="Q9" s="323">
        <f>N9*D3*E3/P9</f>
        <v>2.2862786984457464</v>
      </c>
      <c r="R9" s="644">
        <f>(SUMPRODUCT(Q9:Q11,O9:O11)/10^6)</f>
        <v>215.5</v>
      </c>
      <c r="S9" s="262"/>
    </row>
    <row r="10" spans="1:19" x14ac:dyDescent="0.25">
      <c r="A10" s="304" t="s">
        <v>58</v>
      </c>
      <c r="B10" s="169" t="s">
        <v>302</v>
      </c>
      <c r="C10" s="231">
        <f>VLOOKUP(A10,'CWD Weights'!$B$5:$L$13,2,FALSE)</f>
        <v>67288392.5</v>
      </c>
      <c r="D10" s="231">
        <f>VLOOKUP($A10,'CWD Weights'!$B$5:$L$13,10,FALSE)</f>
        <v>206.39508009745455</v>
      </c>
      <c r="E10" s="297">
        <f>VLOOKUP($A10,'CWD Weights'!$B$5:$L$13,11,FALSE)</f>
        <v>0.55094051069066141</v>
      </c>
      <c r="F10" s="298">
        <f t="shared" ref="F10:F17" si="0">E10*$D$3*$E$3</f>
        <v>118.72768005383753</v>
      </c>
      <c r="G10" s="299">
        <f t="shared" ref="G10:G17" si="1">IF(C10=0,"n.a.",F10*10^6/C10)</f>
        <v>1.7644600449302981</v>
      </c>
      <c r="H10" s="639"/>
      <c r="I10" s="639"/>
      <c r="J10" s="642"/>
      <c r="L10" s="326" t="str">
        <f>B9&amp;" DZK"</f>
        <v>Entry cluster DZK</v>
      </c>
      <c r="M10" s="317">
        <f>G3</f>
        <v>0.1</v>
      </c>
      <c r="N10" s="318">
        <f>J9*(1-M10)</f>
        <v>1.8816442210002966</v>
      </c>
      <c r="O10" s="231">
        <f>SUM(C9:C17)-O9-O11</f>
        <v>3878331</v>
      </c>
      <c r="P10" s="645"/>
      <c r="Q10" s="319">
        <f>N10*D3*E3/P9</f>
        <v>2.0576508286011714</v>
      </c>
      <c r="R10" s="645"/>
      <c r="S10" s="262"/>
    </row>
    <row r="11" spans="1:19" ht="15.75" thickBot="1" x14ac:dyDescent="0.3">
      <c r="A11" s="230" t="s">
        <v>96</v>
      </c>
      <c r="B11" s="169" t="s">
        <v>302</v>
      </c>
      <c r="C11" s="231">
        <f>VLOOKUP(A11,'CWD Weights'!$B$5:$L$13,2,FALSE)</f>
        <v>0</v>
      </c>
      <c r="D11" s="231">
        <f>VLOOKUP($A11,'CWD Weights'!$B$5:$L$13,10,FALSE)</f>
        <v>247.52749811604943</v>
      </c>
      <c r="E11" s="297">
        <f>VLOOKUP($A11,'CWD Weights'!$B$5:$L$13,11,FALSE)</f>
        <v>0</v>
      </c>
      <c r="F11" s="298">
        <f t="shared" si="0"/>
        <v>0</v>
      </c>
      <c r="G11" s="299" t="str">
        <f t="shared" si="1"/>
        <v>n.a.</v>
      </c>
      <c r="H11" s="639"/>
      <c r="I11" s="639"/>
      <c r="J11" s="642"/>
      <c r="L11" s="327" t="s">
        <v>300</v>
      </c>
      <c r="M11" s="328">
        <f>H3</f>
        <v>1</v>
      </c>
      <c r="N11" s="324">
        <f>J10*(1-M11)</f>
        <v>0</v>
      </c>
      <c r="O11" s="233">
        <f>SUM(CAA!P11:P12)*1000</f>
        <v>8428938</v>
      </c>
      <c r="P11" s="646"/>
      <c r="Q11" s="325">
        <v>0</v>
      </c>
      <c r="R11" s="646"/>
      <c r="S11" s="54"/>
    </row>
    <row r="12" spans="1:19" x14ac:dyDescent="0.25">
      <c r="A12" s="230" t="s">
        <v>73</v>
      </c>
      <c r="B12" s="169" t="s">
        <v>302</v>
      </c>
      <c r="C12" s="231">
        <f>VLOOKUP(A12,'CWD Weights'!$B$5:$L$13,2,FALSE)</f>
        <v>0</v>
      </c>
      <c r="D12" s="231">
        <f>VLOOKUP($A12,'CWD Weights'!$B$5:$L$13,10,FALSE)</f>
        <v>272.96588167734961</v>
      </c>
      <c r="E12" s="297">
        <f>VLOOKUP($A12,'CWD Weights'!$B$5:$L$13,11,FALSE)</f>
        <v>0</v>
      </c>
      <c r="F12" s="298">
        <f t="shared" si="0"/>
        <v>0</v>
      </c>
      <c r="G12" s="299" t="str">
        <f t="shared" si="1"/>
        <v>n.a.</v>
      </c>
      <c r="H12" s="639"/>
      <c r="I12" s="639"/>
      <c r="J12" s="642"/>
      <c r="L12" s="314"/>
      <c r="M12" s="315"/>
      <c r="N12" s="316"/>
      <c r="O12" s="316"/>
      <c r="P12" s="315"/>
      <c r="Q12" s="316"/>
      <c r="R12" s="315"/>
      <c r="S12" s="54"/>
    </row>
    <row r="13" spans="1:19" x14ac:dyDescent="0.25">
      <c r="A13" s="230" t="s">
        <v>59</v>
      </c>
      <c r="B13" s="169" t="s">
        <v>302</v>
      </c>
      <c r="C13" s="231">
        <f>VLOOKUP(A13,'CWD Weights'!$B$5:$L$13,2,FALSE)</f>
        <v>10319273.196481112</v>
      </c>
      <c r="D13" s="231">
        <f>VLOOKUP($A13,'CWD Weights'!$B$5:$L$13,10,FALSE)</f>
        <v>346.55325320018039</v>
      </c>
      <c r="E13" s="297">
        <f>VLOOKUP($A13,'CWD Weights'!$B$5:$L$13,11,FALSE)</f>
        <v>0.14186795341847896</v>
      </c>
      <c r="F13" s="298">
        <f t="shared" si="0"/>
        <v>30.572543961682218</v>
      </c>
      <c r="G13" s="299">
        <f t="shared" si="1"/>
        <v>2.9626644609145054</v>
      </c>
      <c r="H13" s="639"/>
      <c r="I13" s="639"/>
      <c r="J13" s="642"/>
    </row>
    <row r="14" spans="1:19" ht="13.7" customHeight="1" x14ac:dyDescent="0.25">
      <c r="A14" s="240" t="s">
        <v>125</v>
      </c>
      <c r="B14" s="169" t="s">
        <v>302</v>
      </c>
      <c r="C14" s="231">
        <f>VLOOKUP(A14,'CWD Weights'!$B$5:$L$13,2,FALSE)</f>
        <v>1765899.9999999998</v>
      </c>
      <c r="D14" s="231">
        <f>VLOOKUP($A14,'CWD Weights'!$B$5:$L$13,10,FALSE)</f>
        <v>426.44341919342025</v>
      </c>
      <c r="E14" s="297">
        <f>VLOOKUP($A14,'CWD Weights'!$B$5:$L$13,11,FALSE)</f>
        <v>2.9873955979920885E-2</v>
      </c>
      <c r="F14" s="298">
        <f t="shared" si="0"/>
        <v>6.4378375136729504</v>
      </c>
      <c r="G14" s="299">
        <f t="shared" si="1"/>
        <v>3.6456410406438367</v>
      </c>
      <c r="H14" s="639"/>
      <c r="I14" s="639"/>
      <c r="J14" s="642"/>
    </row>
    <row r="15" spans="1:19" s="262" customFormat="1" ht="13.7" customHeight="1" x14ac:dyDescent="0.25">
      <c r="A15" s="240" t="s">
        <v>61</v>
      </c>
      <c r="B15" s="169" t="s">
        <v>302</v>
      </c>
      <c r="C15" s="231">
        <f>VLOOKUP(A15,'CWD Weights'!$B$5:$L$13,2,FALSE)</f>
        <v>6663038</v>
      </c>
      <c r="D15" s="231">
        <f>VLOOKUP($A15,'CWD Weights'!$B$5:$L$13,10,FALSE)</f>
        <v>207.70193720092877</v>
      </c>
      <c r="E15" s="297">
        <f>VLOOKUP($A15,'CWD Weights'!$B$5:$L$13,11,FALSE)</f>
        <v>5.4900721326136138E-2</v>
      </c>
      <c r="F15" s="298">
        <f>E15*$D$3*$E$3</f>
        <v>11.831105445782338</v>
      </c>
      <c r="G15" s="299">
        <f>IF(C15=0,"n.a.",F15*10^6/C15)</f>
        <v>1.7756322935247162</v>
      </c>
      <c r="H15" s="639"/>
      <c r="I15" s="639"/>
      <c r="J15" s="642"/>
      <c r="K15"/>
    </row>
    <row r="16" spans="1:19" s="262" customFormat="1" ht="13.7" customHeight="1" x14ac:dyDescent="0.25">
      <c r="A16" s="240" t="s">
        <v>60</v>
      </c>
      <c r="B16" s="169" t="s">
        <v>302</v>
      </c>
      <c r="C16" s="231">
        <f>VLOOKUP(A16,'CWD Weights'!$B$5:$L$13,2,FALSE)</f>
        <v>5668811.2280670945</v>
      </c>
      <c r="D16" s="231">
        <f>VLOOKUP($A16,'CWD Weights'!$B$5:$L$13,10,FALSE)</f>
        <v>438.52426789691077</v>
      </c>
      <c r="E16" s="297">
        <f>VLOOKUP($A16,'CWD Weights'!$B$5:$L$13,11,FALSE)</f>
        <v>9.8616785153949615E-2</v>
      </c>
      <c r="F16" s="298">
        <f t="shared" si="0"/>
        <v>21.251917200676143</v>
      </c>
      <c r="G16" s="299">
        <f t="shared" si="1"/>
        <v>3.7489195433876619</v>
      </c>
      <c r="H16" s="639"/>
      <c r="I16" s="639"/>
      <c r="J16" s="642"/>
      <c r="K16"/>
    </row>
    <row r="17" spans="1:18" s="262" customFormat="1" ht="13.7" customHeight="1" thickBot="1" x14ac:dyDescent="0.3">
      <c r="A17" s="239" t="s">
        <v>75</v>
      </c>
      <c r="B17" s="232" t="s">
        <v>302</v>
      </c>
      <c r="C17" s="233">
        <f>VLOOKUP(A17,'CWD Weights'!$B$5:$L$13,2,FALSE)</f>
        <v>10848000</v>
      </c>
      <c r="D17" s="233">
        <f>VLOOKUP($A17,'CWD Weights'!$B$5:$L$13,10,FALSE)</f>
        <v>265.48254516152576</v>
      </c>
      <c r="E17" s="305">
        <f>VLOOKUP($A17,'CWD Weights'!$B$5:$L$13,11,FALSE)</f>
        <v>0.11424859354025606</v>
      </c>
      <c r="F17" s="306">
        <f t="shared" si="0"/>
        <v>24.620571907925182</v>
      </c>
      <c r="G17" s="307">
        <f t="shared" si="1"/>
        <v>2.2695954929872033</v>
      </c>
      <c r="H17" s="640"/>
      <c r="I17" s="640"/>
      <c r="J17" s="643"/>
      <c r="K17"/>
    </row>
    <row r="18" spans="1:18" s="262" customFormat="1" ht="13.7" customHeight="1" x14ac:dyDescent="0.25">
      <c r="K18"/>
    </row>
    <row r="19" spans="1:18" ht="15.75" x14ac:dyDescent="0.25">
      <c r="A19" s="227" t="s">
        <v>69</v>
      </c>
      <c r="P19" s="234"/>
      <c r="Q19" s="234"/>
      <c r="R19" s="235"/>
    </row>
    <row r="20" spans="1:18" x14ac:dyDescent="0.25">
      <c r="P20" s="234"/>
      <c r="Q20" s="234"/>
      <c r="R20" s="235"/>
    </row>
    <row r="21" spans="1:18" ht="60.75" thickBot="1" x14ac:dyDescent="0.3">
      <c r="A21" s="252" t="s">
        <v>68</v>
      </c>
      <c r="B21" s="251" t="s">
        <v>50</v>
      </c>
      <c r="C21" s="253" t="s">
        <v>217</v>
      </c>
      <c r="D21" s="253" t="s">
        <v>218</v>
      </c>
      <c r="E21" s="253" t="s">
        <v>219</v>
      </c>
      <c r="F21" s="253" t="s">
        <v>220</v>
      </c>
      <c r="G21" s="253" t="s">
        <v>221</v>
      </c>
      <c r="H21" s="253" t="s">
        <v>222</v>
      </c>
      <c r="I21" s="253" t="s">
        <v>223</v>
      </c>
      <c r="J21" s="253" t="s">
        <v>224</v>
      </c>
      <c r="L21" s="253" t="s">
        <v>50</v>
      </c>
      <c r="M21" s="253" t="s">
        <v>225</v>
      </c>
      <c r="N21" s="253" t="s">
        <v>226</v>
      </c>
      <c r="O21" s="289" t="s">
        <v>217</v>
      </c>
      <c r="P21" s="228" t="s">
        <v>227</v>
      </c>
      <c r="Q21" s="228" t="s">
        <v>228</v>
      </c>
      <c r="R21" s="250" t="s">
        <v>229</v>
      </c>
    </row>
    <row r="22" spans="1:18" x14ac:dyDescent="0.25">
      <c r="A22" s="238" t="s">
        <v>77</v>
      </c>
      <c r="B22" s="236" t="str">
        <f>A22</f>
        <v>Exit East</v>
      </c>
      <c r="C22" s="237">
        <f>HLOOKUP($A22,'CWD Weights'!$D$3:$J$15,2,FALSE)</f>
        <v>14347891.061722174</v>
      </c>
      <c r="D22" s="237">
        <f>HLOOKUP($A22,'CWD Weights'!$D$3:$J$15,12,FALSE)</f>
        <v>70.851944776321474</v>
      </c>
      <c r="E22" s="296">
        <f>HLOOKUP($A22,'CWD Weights'!$D$3:$J$15,13,FALSE)</f>
        <v>3.4989383798237683E-2</v>
      </c>
      <c r="F22" s="302">
        <f>E22*$D$3*$F$3</f>
        <v>7.540212208520221</v>
      </c>
      <c r="G22" s="303">
        <f>IF(C22=0,"n.a.",F22*10^6/C22)</f>
        <v>0.52552756193112404</v>
      </c>
      <c r="H22" s="308" t="str">
        <f>B22</f>
        <v>Exit East</v>
      </c>
      <c r="I22" s="309">
        <f>F22</f>
        <v>7.540212208520221</v>
      </c>
      <c r="J22" s="287">
        <f>I22*10^6/C22</f>
        <v>0.52552756193112404</v>
      </c>
      <c r="L22" s="333" t="str">
        <f>A22</f>
        <v>Exit East</v>
      </c>
      <c r="M22" s="334">
        <v>0</v>
      </c>
      <c r="N22" s="335">
        <f>J22*(1-M22)</f>
        <v>0.52552756193112404</v>
      </c>
      <c r="O22" s="237">
        <f>C22</f>
        <v>14347891.061722174</v>
      </c>
      <c r="P22" s="630">
        <f>SUMPRODUCT(N22:N30,O22:O30)/10^6</f>
        <v>210.51525104156437</v>
      </c>
      <c r="Q22" s="336">
        <f>N22*$D$3*$F$3/$P$22</f>
        <v>0.53797142504319928</v>
      </c>
      <c r="R22" s="633">
        <f>SUMPRODUCT(Q22:Q30,O22:O30)/10^6</f>
        <v>215.5</v>
      </c>
    </row>
    <row r="23" spans="1:18" x14ac:dyDescent="0.25">
      <c r="A23" s="240" t="s">
        <v>78</v>
      </c>
      <c r="B23" s="169" t="str">
        <f t="shared" ref="B23:B28" si="2">A23</f>
        <v>Exit West</v>
      </c>
      <c r="C23" s="231">
        <f>HLOOKUP($A23,'CWD Weights'!$D$3:$J$15,2,FALSE)</f>
        <v>21304836.004296184</v>
      </c>
      <c r="D23" s="231">
        <f>HLOOKUP($A23,'CWD Weights'!$D$3:$J$15,12,FALSE)</f>
        <v>233.74919650903092</v>
      </c>
      <c r="E23" s="297">
        <f>HLOOKUP($A23,'CWD Weights'!$D$3:$J$15,13,FALSE)</f>
        <v>0.17140550672496216</v>
      </c>
      <c r="F23" s="298">
        <f t="shared" ref="F23:F28" si="3">E23*$D$3*$F$3</f>
        <v>36.937886699229345</v>
      </c>
      <c r="G23" s="299">
        <f t="shared" ref="G23:G28" si="4">IF(C23=0,"n.a.",F23*10^6/C23)</f>
        <v>1.7337794429293287</v>
      </c>
      <c r="H23" s="300" t="str">
        <f t="shared" ref="H23:H28" si="5">B23</f>
        <v>Exit West</v>
      </c>
      <c r="I23" s="301">
        <f t="shared" ref="I23:I28" si="6">F23</f>
        <v>36.937886699229345</v>
      </c>
      <c r="J23" s="310">
        <f t="shared" ref="J23:J28" si="7">I23*10^6/C23</f>
        <v>1.7337794429293287</v>
      </c>
      <c r="L23" s="337" t="str">
        <f t="shared" ref="L23:L28" si="8">A23</f>
        <v>Exit West</v>
      </c>
      <c r="M23" s="329">
        <v>0</v>
      </c>
      <c r="N23" s="330">
        <f t="shared" ref="N23:N28" si="9">J23*(1-M23)</f>
        <v>1.7337794429293287</v>
      </c>
      <c r="O23" s="231">
        <f>CAA!F16*1000</f>
        <v>14873464.00429618</v>
      </c>
      <c r="P23" s="631"/>
      <c r="Q23" s="332">
        <f t="shared" ref="Q23:Q30" si="10">N23*$D$3*$F$3/$P$22</f>
        <v>1.7748332631610644</v>
      </c>
      <c r="R23" s="634"/>
    </row>
    <row r="24" spans="1:18" x14ac:dyDescent="0.25">
      <c r="A24" s="240" t="s">
        <v>83</v>
      </c>
      <c r="B24" s="169" t="str">
        <f t="shared" si="2"/>
        <v>Exit Arnoldstein</v>
      </c>
      <c r="C24" s="231">
        <f>HLOOKUP($A24,'CWD Weights'!$D$3:$J$15,2,FALSE)</f>
        <v>43571929</v>
      </c>
      <c r="D24" s="231">
        <f>HLOOKUP($A24,'CWD Weights'!$D$3:$J$15,12,FALSE)</f>
        <v>430.45476565269604</v>
      </c>
      <c r="E24" s="297">
        <f>HLOOKUP($A24,'CWD Weights'!$D$3:$J$15,13,FALSE)</f>
        <v>0.64555129360393826</v>
      </c>
      <c r="F24" s="298">
        <f t="shared" si="3"/>
        <v>139.11630377164869</v>
      </c>
      <c r="G24" s="299">
        <f t="shared" si="4"/>
        <v>3.1927965312632516</v>
      </c>
      <c r="H24" s="300" t="str">
        <f t="shared" si="5"/>
        <v>Exit Arnoldstein</v>
      </c>
      <c r="I24" s="301">
        <f t="shared" si="6"/>
        <v>139.11630377164869</v>
      </c>
      <c r="J24" s="310">
        <f t="shared" si="7"/>
        <v>3.1927965312632516</v>
      </c>
      <c r="L24" s="337" t="str">
        <f t="shared" si="8"/>
        <v>Exit Arnoldstein</v>
      </c>
      <c r="M24" s="329">
        <v>0</v>
      </c>
      <c r="N24" s="330">
        <f t="shared" si="9"/>
        <v>3.1927965312632516</v>
      </c>
      <c r="O24" s="231">
        <f>C24</f>
        <v>43571929</v>
      </c>
      <c r="P24" s="631"/>
      <c r="Q24" s="332">
        <f t="shared" si="10"/>
        <v>3.2683981283207926</v>
      </c>
      <c r="R24" s="634"/>
    </row>
    <row r="25" spans="1:18" x14ac:dyDescent="0.25">
      <c r="A25" s="240" t="s">
        <v>79</v>
      </c>
      <c r="B25" s="169" t="str">
        <f t="shared" si="2"/>
        <v>Exit Murfeld</v>
      </c>
      <c r="C25" s="231">
        <f>HLOOKUP($A25,'CWD Weights'!$D$3:$J$15,2,FALSE)</f>
        <v>1810849.9747649301</v>
      </c>
      <c r="D25" s="231">
        <f>HLOOKUP($A25,'CWD Weights'!$D$3:$J$15,12,FALSE)</f>
        <v>286.41194308150665</v>
      </c>
      <c r="E25" s="297">
        <f>HLOOKUP($A25,'CWD Weights'!$D$3:$J$15,13,FALSE)</f>
        <v>1.7851307997012001E-2</v>
      </c>
      <c r="F25" s="298">
        <f t="shared" si="3"/>
        <v>3.8469568733560862</v>
      </c>
      <c r="G25" s="299">
        <f t="shared" si="4"/>
        <v>2.1243929242981419</v>
      </c>
      <c r="H25" s="300" t="str">
        <f t="shared" si="5"/>
        <v>Exit Murfeld</v>
      </c>
      <c r="I25" s="301">
        <f t="shared" si="6"/>
        <v>3.8469568733560862</v>
      </c>
      <c r="J25" s="310">
        <f t="shared" si="7"/>
        <v>2.1243929242981419</v>
      </c>
      <c r="L25" s="337" t="str">
        <f t="shared" si="8"/>
        <v>Exit Murfeld</v>
      </c>
      <c r="M25" s="329">
        <v>0</v>
      </c>
      <c r="N25" s="330">
        <f t="shared" si="9"/>
        <v>2.1243929242981419</v>
      </c>
      <c r="O25" s="231">
        <f>C25</f>
        <v>1810849.9747649301</v>
      </c>
      <c r="P25" s="631"/>
      <c r="Q25" s="331">
        <f t="shared" si="10"/>
        <v>2.1746960038342289</v>
      </c>
      <c r="R25" s="634"/>
    </row>
    <row r="26" spans="1:18" x14ac:dyDescent="0.25">
      <c r="A26" s="240" t="s">
        <v>82</v>
      </c>
      <c r="B26" s="169" t="str">
        <f t="shared" si="2"/>
        <v>Exit Storage</v>
      </c>
      <c r="C26" s="231">
        <f>HLOOKUP($A26,'CWD Weights'!$D$3:$J$15,2,FALSE)</f>
        <v>8428938</v>
      </c>
      <c r="D26" s="231">
        <f>HLOOKUP($A26,'CWD Weights'!$D$3:$J$15,12,FALSE)</f>
        <v>109.42627230959222</v>
      </c>
      <c r="E26" s="297">
        <f>HLOOKUP($A26,'CWD Weights'!$D$3:$J$15,13,FALSE)</f>
        <v>3.17461389180934E-2</v>
      </c>
      <c r="F26" s="298">
        <f t="shared" si="3"/>
        <v>6.8412929368491273</v>
      </c>
      <c r="G26" s="299">
        <f t="shared" si="4"/>
        <v>0.81164352340106516</v>
      </c>
      <c r="H26" s="300" t="str">
        <f t="shared" si="5"/>
        <v>Exit Storage</v>
      </c>
      <c r="I26" s="301">
        <f t="shared" si="6"/>
        <v>6.8412929368491273</v>
      </c>
      <c r="J26" s="310">
        <f t="shared" si="7"/>
        <v>0.81164352340106516</v>
      </c>
      <c r="L26" s="337" t="str">
        <f t="shared" si="8"/>
        <v>Exit Storage</v>
      </c>
      <c r="M26" s="329">
        <f>I3</f>
        <v>0.5</v>
      </c>
      <c r="N26" s="330">
        <f t="shared" si="9"/>
        <v>0.40582176170053258</v>
      </c>
      <c r="O26" s="231">
        <f>C26</f>
        <v>8428938</v>
      </c>
      <c r="P26" s="631"/>
      <c r="Q26" s="331">
        <f t="shared" si="10"/>
        <v>0.41543113486441718</v>
      </c>
      <c r="R26" s="634"/>
    </row>
    <row r="27" spans="1:18" x14ac:dyDescent="0.25">
      <c r="A27" s="240" t="s">
        <v>84</v>
      </c>
      <c r="B27" s="169" t="str">
        <f t="shared" si="2"/>
        <v>Exit VG-Kärnten</v>
      </c>
      <c r="C27" s="231">
        <f>HLOOKUP($A27,'CWD Weights'!$D$3:$J$15,2,FALSE)</f>
        <v>391653</v>
      </c>
      <c r="D27" s="231">
        <f>HLOOKUP($A27,'CWD Weights'!$D$3:$J$15,12,FALSE)</f>
        <v>385.30661099193429</v>
      </c>
      <c r="E27" s="297">
        <f>HLOOKUP($A27,'CWD Weights'!$D$3:$J$15,13,FALSE)</f>
        <v>5.194028953410759E-3</v>
      </c>
      <c r="F27" s="298">
        <f t="shared" si="3"/>
        <v>1.1193132394600185</v>
      </c>
      <c r="G27" s="299">
        <f t="shared" si="4"/>
        <v>2.8579207601116767</v>
      </c>
      <c r="H27" s="300" t="str">
        <f t="shared" si="5"/>
        <v>Exit VG-Kärnten</v>
      </c>
      <c r="I27" s="301">
        <f t="shared" si="6"/>
        <v>1.1193132394600185</v>
      </c>
      <c r="J27" s="310">
        <f t="shared" si="7"/>
        <v>2.8579207601116767</v>
      </c>
      <c r="L27" s="337" t="str">
        <f t="shared" si="8"/>
        <v>Exit VG-Kärnten</v>
      </c>
      <c r="M27" s="329">
        <v>0</v>
      </c>
      <c r="N27" s="330">
        <f t="shared" si="9"/>
        <v>2.8579207601116767</v>
      </c>
      <c r="O27" s="231">
        <f>C27</f>
        <v>391653</v>
      </c>
      <c r="P27" s="631"/>
      <c r="Q27" s="332">
        <f t="shared" si="10"/>
        <v>2.9255929000719569</v>
      </c>
      <c r="R27" s="634"/>
    </row>
    <row r="28" spans="1:18" ht="15.75" thickBot="1" x14ac:dyDescent="0.3">
      <c r="A28" s="239" t="s">
        <v>80</v>
      </c>
      <c r="B28" s="232" t="str">
        <f t="shared" si="2"/>
        <v>Exit VG1</v>
      </c>
      <c r="C28" s="233">
        <f>HLOOKUP($A28,'CWD Weights'!$D$3:$J$15,2,FALSE)</f>
        <v>31394105</v>
      </c>
      <c r="D28" s="233">
        <f>HLOOKUP($A28,'CWD Weights'!$D$3:$J$15,12,FALSE)</f>
        <v>86.310126547134544</v>
      </c>
      <c r="E28" s="305">
        <f>HLOOKUP($A28,'CWD Weights'!$D$3:$J$15,13,FALSE)</f>
        <v>9.3262340004345801E-2</v>
      </c>
      <c r="F28" s="306">
        <f t="shared" si="3"/>
        <v>20.09803427093652</v>
      </c>
      <c r="G28" s="307">
        <f t="shared" si="4"/>
        <v>0.64018497329153101</v>
      </c>
      <c r="H28" s="311" t="str">
        <f t="shared" si="5"/>
        <v>Exit VG1</v>
      </c>
      <c r="I28" s="312">
        <f t="shared" si="6"/>
        <v>20.09803427093652</v>
      </c>
      <c r="J28" s="313">
        <f t="shared" si="7"/>
        <v>0.64018497329153101</v>
      </c>
      <c r="L28" s="337" t="str">
        <f t="shared" si="8"/>
        <v>Exit VG1</v>
      </c>
      <c r="M28" s="329">
        <v>0</v>
      </c>
      <c r="N28" s="330">
        <f t="shared" si="9"/>
        <v>0.64018497329153101</v>
      </c>
      <c r="O28" s="231">
        <f>CAA!L16*1000</f>
        <v>24379813</v>
      </c>
      <c r="P28" s="631"/>
      <c r="Q28" s="332">
        <f t="shared" si="10"/>
        <v>0.65534378655105607</v>
      </c>
      <c r="R28" s="634"/>
    </row>
    <row r="29" spans="1:18" x14ac:dyDescent="0.25">
      <c r="L29" s="240" t="s">
        <v>230</v>
      </c>
      <c r="M29" s="329">
        <f>G3</f>
        <v>0.1</v>
      </c>
      <c r="N29" s="330">
        <f>J23*(1-M29)</f>
        <v>1.5604014986363959</v>
      </c>
      <c r="O29" s="231">
        <f>C23-O23</f>
        <v>6431372.0000000037</v>
      </c>
      <c r="P29" s="631"/>
      <c r="Q29" s="332">
        <f t="shared" si="10"/>
        <v>1.597349936844958</v>
      </c>
      <c r="R29" s="634"/>
    </row>
    <row r="30" spans="1:18" ht="15.75" thickBot="1" x14ac:dyDescent="0.3">
      <c r="L30" s="239" t="s">
        <v>301</v>
      </c>
      <c r="M30" s="338">
        <f>G3</f>
        <v>0.1</v>
      </c>
      <c r="N30" s="339">
        <f>J28*(1-M30)</f>
        <v>0.57616647596237791</v>
      </c>
      <c r="O30" s="233">
        <f>C28-O28</f>
        <v>7014292</v>
      </c>
      <c r="P30" s="632"/>
      <c r="Q30" s="360">
        <f t="shared" si="10"/>
        <v>0.58980940789595038</v>
      </c>
      <c r="R30" s="635"/>
    </row>
  </sheetData>
  <mergeCells count="8">
    <mergeCell ref="P22:P30"/>
    <mergeCell ref="R22:R30"/>
    <mergeCell ref="E2:F2"/>
    <mergeCell ref="H9:H17"/>
    <mergeCell ref="I9:I17"/>
    <mergeCell ref="J9:J17"/>
    <mergeCell ref="P9:P11"/>
    <mergeCell ref="R9:R11"/>
  </mergeCells>
  <dataValidations count="1">
    <dataValidation type="list" allowBlank="1" showInputMessage="1" showErrorMessage="1" sqref="G4:G5" xr:uid="{00000000-0002-0000-0E00-000000000000}">
      <formula1>"yes,no"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6BA8-1989-48C6-A4CC-9CE75DDB4E82}">
  <dimension ref="A1"/>
  <sheetViews>
    <sheetView workbookViewId="0">
      <selection activeCell="E33" sqref="E33"/>
    </sheetView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3"/>
  <dimension ref="A2:N24"/>
  <sheetViews>
    <sheetView workbookViewId="0">
      <selection activeCell="F5" sqref="F5"/>
    </sheetView>
  </sheetViews>
  <sheetFormatPr baseColWidth="10" defaultColWidth="11.42578125" defaultRowHeight="15" x14ac:dyDescent="0.25"/>
  <cols>
    <col min="9" max="9" width="24.5703125" customWidth="1"/>
  </cols>
  <sheetData>
    <row r="2" spans="1:14" ht="15.75" thickBot="1" x14ac:dyDescent="0.3">
      <c r="A2" t="s">
        <v>57</v>
      </c>
      <c r="I2" t="s">
        <v>69</v>
      </c>
    </row>
    <row r="3" spans="1:14" ht="54.75" thickBot="1" x14ac:dyDescent="0.3">
      <c r="A3" s="478" t="s">
        <v>378</v>
      </c>
      <c r="B3" s="479" t="s">
        <v>379</v>
      </c>
      <c r="C3" s="479" t="s">
        <v>380</v>
      </c>
      <c r="D3" s="479" t="s">
        <v>381</v>
      </c>
      <c r="E3" s="479" t="s">
        <v>382</v>
      </c>
      <c r="F3" s="480" t="s">
        <v>383</v>
      </c>
      <c r="I3" s="489" t="s">
        <v>413</v>
      </c>
      <c r="J3" s="490" t="s">
        <v>379</v>
      </c>
      <c r="K3" s="490" t="s">
        <v>380</v>
      </c>
      <c r="L3" s="490" t="s">
        <v>381</v>
      </c>
      <c r="M3" s="490" t="s">
        <v>382</v>
      </c>
      <c r="N3" s="491" t="s">
        <v>383</v>
      </c>
    </row>
    <row r="4" spans="1:14" x14ac:dyDescent="0.25">
      <c r="A4" s="481" t="s">
        <v>56</v>
      </c>
      <c r="B4" s="482">
        <f>'Reference VO 2017'!M5</f>
        <v>17377622</v>
      </c>
      <c r="C4" s="482">
        <f xml:space="preserve"> 'Reference VO 2017'!G30</f>
        <v>0</v>
      </c>
      <c r="D4" s="482">
        <f>'Reference VO 2017'!G34</f>
        <v>521331</v>
      </c>
      <c r="E4" s="483">
        <v>0</v>
      </c>
      <c r="F4" s="484" t="s">
        <v>384</v>
      </c>
      <c r="I4" s="492" t="s">
        <v>56</v>
      </c>
      <c r="J4" s="493" t="s">
        <v>395</v>
      </c>
      <c r="K4" s="494">
        <f>'Reference VO 2017'!G31</f>
        <v>43571929</v>
      </c>
      <c r="L4" s="493">
        <v>0</v>
      </c>
      <c r="M4" s="493" t="s">
        <v>396</v>
      </c>
      <c r="N4" s="495">
        <v>0</v>
      </c>
    </row>
    <row r="5" spans="1:14" x14ac:dyDescent="0.25">
      <c r="A5" s="481" t="s">
        <v>58</v>
      </c>
      <c r="B5" s="482">
        <f xml:space="preserve"> 'Reference VO 2017'!M6</f>
        <v>96080396</v>
      </c>
      <c r="C5" s="482">
        <f xml:space="preserve"> SUM('Reference VO 2017'!G5,'Reference VO 2017'!G29)</f>
        <v>67288392.5</v>
      </c>
      <c r="D5" s="483">
        <v>0</v>
      </c>
      <c r="E5" s="483" t="s">
        <v>385</v>
      </c>
      <c r="F5" s="484">
        <v>0</v>
      </c>
      <c r="I5" s="492" t="s">
        <v>58</v>
      </c>
      <c r="J5" s="493" t="s">
        <v>397</v>
      </c>
      <c r="K5" s="494">
        <f>'Reference VO 2017'!G11</f>
        <v>7932724.7715542139</v>
      </c>
      <c r="L5" s="493">
        <v>0</v>
      </c>
      <c r="M5" s="493" t="s">
        <v>398</v>
      </c>
      <c r="N5" s="495">
        <v>0</v>
      </c>
    </row>
    <row r="6" spans="1:14" x14ac:dyDescent="0.25">
      <c r="A6" s="481" t="s">
        <v>59</v>
      </c>
      <c r="B6" s="482">
        <f>'Reference VO 2017'!M7</f>
        <v>10349306</v>
      </c>
      <c r="C6" s="482">
        <f>'Reference VO 2017'!G6</f>
        <v>10319273.196481112</v>
      </c>
      <c r="D6" s="483">
        <v>0</v>
      </c>
      <c r="E6" s="483" t="s">
        <v>386</v>
      </c>
      <c r="F6" s="484">
        <v>0</v>
      </c>
      <c r="I6" s="492" t="s">
        <v>96</v>
      </c>
      <c r="J6" s="493" t="s">
        <v>399</v>
      </c>
      <c r="K6" s="494">
        <f xml:space="preserve"> 'Reference VO 2017'!G14</f>
        <v>6415166.2901679594</v>
      </c>
      <c r="L6" s="493">
        <v>0</v>
      </c>
      <c r="M6" s="493" t="s">
        <v>399</v>
      </c>
      <c r="N6" s="495">
        <v>0</v>
      </c>
    </row>
    <row r="7" spans="1:14" x14ac:dyDescent="0.25">
      <c r="A7" s="481" t="s">
        <v>60</v>
      </c>
      <c r="B7" s="482">
        <f>'Reference VO 2017'!M8</f>
        <v>4750155</v>
      </c>
      <c r="C7" s="482">
        <f>'Reference VO 2017'!G7</f>
        <v>2311811.2280670945</v>
      </c>
      <c r="D7" s="482">
        <f>'Reference VO 2017'!G19</f>
        <v>3357000</v>
      </c>
      <c r="E7" s="483" t="s">
        <v>387</v>
      </c>
      <c r="F7" s="484" t="s">
        <v>388</v>
      </c>
      <c r="I7" s="492" t="s">
        <v>73</v>
      </c>
      <c r="J7" s="493" t="s">
        <v>400</v>
      </c>
      <c r="K7" s="494">
        <f xml:space="preserve"> 'Reference VO 2017'!G13</f>
        <v>1810849.9747649301</v>
      </c>
      <c r="L7" s="493">
        <v>0</v>
      </c>
      <c r="M7" s="493" t="s">
        <v>401</v>
      </c>
      <c r="N7" s="495">
        <v>0</v>
      </c>
    </row>
    <row r="8" spans="1:14" ht="27" x14ac:dyDescent="0.25">
      <c r="A8" s="481" t="s">
        <v>389</v>
      </c>
      <c r="B8" s="482">
        <f>'Reference VO 2017'!M9</f>
        <v>7273500</v>
      </c>
      <c r="C8" s="482">
        <f>'Reference VO 2017'!G27</f>
        <v>6663038</v>
      </c>
      <c r="D8" s="483">
        <v>0</v>
      </c>
      <c r="E8" s="483" t="s">
        <v>391</v>
      </c>
      <c r="F8" s="484">
        <v>0</v>
      </c>
      <c r="I8" s="492" t="s">
        <v>59</v>
      </c>
      <c r="J8" s="493" t="s">
        <v>402</v>
      </c>
      <c r="K8" s="494">
        <f xml:space="preserve"> 'Reference VO 2017'!G12</f>
        <v>14873464.00429618</v>
      </c>
      <c r="L8" s="493">
        <v>0</v>
      </c>
      <c r="M8" s="493" t="s">
        <v>403</v>
      </c>
      <c r="N8" s="495">
        <v>0</v>
      </c>
    </row>
    <row r="9" spans="1:14" ht="27" x14ac:dyDescent="0.25">
      <c r="A9" s="481" t="s">
        <v>392</v>
      </c>
      <c r="B9" s="482">
        <f>'Reference VO 2017'!M10</f>
        <v>1765899.9999999998</v>
      </c>
      <c r="C9" s="482">
        <f>'Reference VO 2017'!G26</f>
        <v>1765899.9999999998</v>
      </c>
      <c r="D9" s="483">
        <v>0</v>
      </c>
      <c r="E9" s="483" t="s">
        <v>393</v>
      </c>
      <c r="F9" s="484">
        <v>0</v>
      </c>
      <c r="I9" s="492" t="s">
        <v>74</v>
      </c>
      <c r="J9" s="493" t="s">
        <v>404</v>
      </c>
      <c r="K9" s="493">
        <v>0</v>
      </c>
      <c r="L9" s="493">
        <v>0</v>
      </c>
      <c r="M9" s="493">
        <v>0</v>
      </c>
      <c r="N9" s="495">
        <v>0</v>
      </c>
    </row>
    <row r="10" spans="1:14" ht="27" x14ac:dyDescent="0.25">
      <c r="A10" s="481" t="s">
        <v>96</v>
      </c>
      <c r="B10" s="483">
        <v>0</v>
      </c>
      <c r="C10" s="483">
        <v>0</v>
      </c>
      <c r="D10" s="483">
        <v>0</v>
      </c>
      <c r="E10" s="483">
        <v>0</v>
      </c>
      <c r="F10" s="484">
        <v>0</v>
      </c>
      <c r="I10" s="492" t="s">
        <v>60</v>
      </c>
      <c r="J10" s="496">
        <v>7273500</v>
      </c>
      <c r="K10" s="494">
        <f>'Reference VO 2017'!G18</f>
        <v>0</v>
      </c>
      <c r="L10" s="494">
        <f>'Reference VO 2017'!G22</f>
        <v>6431372.0000000019</v>
      </c>
      <c r="M10" s="493" t="s">
        <v>405</v>
      </c>
      <c r="N10" s="495" t="s">
        <v>406</v>
      </c>
    </row>
    <row r="11" spans="1:14" x14ac:dyDescent="0.25">
      <c r="A11" s="481" t="s">
        <v>73</v>
      </c>
      <c r="B11" s="483">
        <v>0</v>
      </c>
      <c r="C11" s="483">
        <v>0</v>
      </c>
      <c r="D11" s="483">
        <v>0</v>
      </c>
      <c r="E11" s="483">
        <v>0</v>
      </c>
      <c r="F11" s="484">
        <v>0</v>
      </c>
      <c r="I11" s="492" t="s">
        <v>389</v>
      </c>
      <c r="J11" s="493" t="s">
        <v>390</v>
      </c>
      <c r="K11" s="494">
        <f xml:space="preserve"> 'Reference VO 2017'!G28</f>
        <v>6663038</v>
      </c>
      <c r="L11" s="493">
        <v>0</v>
      </c>
      <c r="M11" s="493" t="s">
        <v>391</v>
      </c>
      <c r="N11" s="495">
        <v>0</v>
      </c>
    </row>
    <row r="12" spans="1:14" x14ac:dyDescent="0.25">
      <c r="A12" s="481" t="s">
        <v>74</v>
      </c>
      <c r="B12" s="483">
        <v>0</v>
      </c>
      <c r="C12" s="483">
        <v>0</v>
      </c>
      <c r="D12" s="483">
        <v>0</v>
      </c>
      <c r="E12" s="483">
        <v>0</v>
      </c>
      <c r="F12" s="484">
        <v>0</v>
      </c>
      <c r="I12" s="492" t="s">
        <v>392</v>
      </c>
      <c r="J12" s="496">
        <f>'Reference VO 2017'!M23</f>
        <v>1765899.9999999998</v>
      </c>
      <c r="K12" s="494">
        <f>'Reference VO 2017'!G25</f>
        <v>1765899.9999999998</v>
      </c>
      <c r="L12" s="493">
        <v>0</v>
      </c>
      <c r="M12" s="493" t="s">
        <v>393</v>
      </c>
      <c r="N12" s="495">
        <v>0</v>
      </c>
    </row>
    <row r="13" spans="1:14" ht="27.75" thickBot="1" x14ac:dyDescent="0.3">
      <c r="A13" s="485" t="s">
        <v>75</v>
      </c>
      <c r="B13" s="486">
        <f>'Reference VO 2017'!M14</f>
        <v>10848000</v>
      </c>
      <c r="C13" s="486">
        <f>'Reference VO 2017'!G17</f>
        <v>10848000</v>
      </c>
      <c r="D13" s="487">
        <v>0</v>
      </c>
      <c r="E13" s="487" t="s">
        <v>394</v>
      </c>
      <c r="F13" s="488">
        <v>0</v>
      </c>
      <c r="I13" s="492" t="s">
        <v>407</v>
      </c>
      <c r="J13" s="493" t="s">
        <v>408</v>
      </c>
      <c r="K13" s="493" t="s">
        <v>409</v>
      </c>
      <c r="L13" s="494">
        <f>'Reference VO 2017'!G20+'Reference VO 2017'!G21</f>
        <v>7014292</v>
      </c>
      <c r="M13" s="493" t="s">
        <v>409</v>
      </c>
      <c r="N13" s="495" t="s">
        <v>410</v>
      </c>
    </row>
    <row r="14" spans="1:14" ht="15.75" thickBot="1" x14ac:dyDescent="0.3">
      <c r="I14" s="497" t="s">
        <v>411</v>
      </c>
      <c r="J14" s="498" t="s">
        <v>412</v>
      </c>
      <c r="K14" s="499">
        <f xml:space="preserve"> 'Reference VO 2017'!G33</f>
        <v>391653</v>
      </c>
      <c r="L14" s="498">
        <v>0</v>
      </c>
      <c r="M14" s="498" t="s">
        <v>412</v>
      </c>
      <c r="N14" s="500">
        <v>0</v>
      </c>
    </row>
    <row r="24" spans="12:12" x14ac:dyDescent="0.25">
      <c r="L24" s="5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Overview">
    <tabColor theme="6" tint="0.39997558519241921"/>
    <outlinePr summaryBelow="0" summaryRight="0"/>
  </sheetPr>
  <dimension ref="A1:Z58"/>
  <sheetViews>
    <sheetView zoomScale="85" zoomScaleNormal="85" workbookViewId="0">
      <selection activeCell="G21" sqref="G21"/>
    </sheetView>
  </sheetViews>
  <sheetFormatPr baseColWidth="10" defaultColWidth="11.42578125" defaultRowHeight="15" outlineLevelCol="1" x14ac:dyDescent="0.25"/>
  <cols>
    <col min="1" max="1" width="4.42578125" style="262" customWidth="1"/>
    <col min="2" max="2" width="38.42578125" style="262" customWidth="1"/>
    <col min="3" max="3" width="12.85546875" style="262" customWidth="1"/>
    <col min="4" max="4" width="5.42578125" customWidth="1"/>
    <col min="5" max="5" width="34.5703125" bestFit="1" customWidth="1" collapsed="1"/>
    <col min="6" max="6" width="11.42578125" hidden="1" customWidth="1" outlineLevel="1"/>
    <col min="9" max="9" width="11.42578125" style="262"/>
    <col min="10" max="10" width="12.5703125" customWidth="1"/>
    <col min="11" max="11" width="11.42578125" customWidth="1" collapsed="1"/>
    <col min="12" max="12" width="11.42578125" style="43" customWidth="1"/>
    <col min="14" max="14" width="10.42578125" customWidth="1"/>
    <col min="15" max="16" width="11.42578125" style="262" customWidth="1"/>
    <col min="17" max="17" width="11.42578125" customWidth="1"/>
    <col min="18" max="19" width="13.42578125" customWidth="1"/>
    <col min="20" max="20" width="13.85546875" customWidth="1"/>
    <col min="21" max="21" width="8.5703125" style="52" customWidth="1"/>
    <col min="22" max="24" width="11.5703125" style="52" customWidth="1"/>
    <col min="25" max="26" width="10.85546875" style="52"/>
  </cols>
  <sheetData>
    <row r="1" spans="2:25" ht="16.5" x14ac:dyDescent="0.3">
      <c r="D1" s="106"/>
      <c r="E1" s="106"/>
      <c r="F1" s="106"/>
      <c r="G1" s="106"/>
      <c r="H1" s="106"/>
      <c r="I1" s="106"/>
      <c r="J1" s="106"/>
      <c r="K1" s="358"/>
      <c r="L1" s="107"/>
      <c r="M1" s="106"/>
      <c r="N1" s="106"/>
      <c r="O1" s="106"/>
      <c r="P1" s="106"/>
      <c r="Q1" s="106"/>
      <c r="R1" s="106"/>
      <c r="S1" s="106"/>
      <c r="T1" s="106"/>
    </row>
    <row r="2" spans="2:25" x14ac:dyDescent="0.25">
      <c r="E2" s="33" t="s">
        <v>130</v>
      </c>
      <c r="G2" s="3"/>
      <c r="H2" s="3"/>
      <c r="I2" s="3"/>
      <c r="K2" s="359"/>
      <c r="M2" s="3"/>
      <c r="N2" s="3"/>
      <c r="O2" s="3"/>
      <c r="P2" s="3"/>
      <c r="Q2" s="3"/>
      <c r="S2" s="3"/>
      <c r="T2" s="3"/>
    </row>
    <row r="3" spans="2:25" ht="15.75" thickBot="1" x14ac:dyDescent="0.3">
      <c r="B3" s="512"/>
      <c r="E3" s="3"/>
      <c r="F3" s="3"/>
      <c r="G3" s="3"/>
      <c r="H3" s="3"/>
      <c r="I3" s="3"/>
      <c r="J3" s="3"/>
      <c r="K3" s="3"/>
      <c r="L3" s="96"/>
      <c r="M3" s="3"/>
      <c r="N3" s="3"/>
      <c r="O3" s="3"/>
      <c r="P3" s="3"/>
      <c r="Q3" s="3"/>
      <c r="R3" s="3"/>
      <c r="S3" s="3"/>
    </row>
    <row r="4" spans="2:25" ht="19.5" thickBot="1" x14ac:dyDescent="0.35">
      <c r="B4" s="100" t="s">
        <v>45</v>
      </c>
      <c r="C4" s="2">
        <v>11.19</v>
      </c>
      <c r="E4" s="4" t="s">
        <v>0</v>
      </c>
      <c r="F4" s="5"/>
      <c r="G4" s="91"/>
      <c r="H4" s="6"/>
      <c r="I4" s="6"/>
      <c r="J4" s="6"/>
      <c r="K4" s="6"/>
      <c r="L4" s="97"/>
      <c r="M4" s="6"/>
      <c r="N4" s="1" t="s">
        <v>316</v>
      </c>
      <c r="O4" s="82"/>
      <c r="P4" s="82"/>
      <c r="Q4" s="75">
        <f>costs_GCA/1000</f>
        <v>138000</v>
      </c>
      <c r="R4" s="104"/>
      <c r="S4" s="104"/>
      <c r="T4" s="105"/>
    </row>
    <row r="5" spans="2:25" ht="17.25" thickBot="1" x14ac:dyDescent="0.35">
      <c r="B5" s="100" t="s">
        <v>44</v>
      </c>
      <c r="C5" s="32">
        <f>10%</f>
        <v>0.1</v>
      </c>
      <c r="E5" s="392"/>
      <c r="F5" s="390"/>
      <c r="G5" s="393"/>
      <c r="H5" s="391"/>
      <c r="I5" s="391"/>
      <c r="J5" s="390"/>
      <c r="K5" s="391"/>
      <c r="L5" s="394"/>
      <c r="M5" s="390"/>
      <c r="N5" s="390"/>
      <c r="O5" s="393"/>
      <c r="P5" s="393"/>
      <c r="Q5" s="390"/>
      <c r="R5" s="391"/>
      <c r="S5" s="390"/>
      <c r="T5" s="395"/>
    </row>
    <row r="6" spans="2:25" ht="17.25" thickBot="1" x14ac:dyDescent="0.35">
      <c r="B6" s="100" t="s">
        <v>121</v>
      </c>
      <c r="C6" s="32">
        <v>1</v>
      </c>
      <c r="E6" s="8"/>
      <c r="F6" s="7"/>
      <c r="G6" s="9" t="s">
        <v>137</v>
      </c>
      <c r="H6" s="9" t="s">
        <v>1</v>
      </c>
      <c r="I6" s="9" t="s">
        <v>303</v>
      </c>
      <c r="J6" s="9" t="s">
        <v>305</v>
      </c>
      <c r="K6" s="10" t="s">
        <v>203</v>
      </c>
      <c r="L6" s="11"/>
      <c r="M6" s="9" t="s">
        <v>140</v>
      </c>
      <c r="N6" s="9" t="s">
        <v>143</v>
      </c>
      <c r="O6" s="9"/>
      <c r="P6" s="9" t="s">
        <v>272</v>
      </c>
      <c r="Q6" s="9" t="s">
        <v>143</v>
      </c>
      <c r="R6" s="9" t="s">
        <v>327</v>
      </c>
      <c r="S6" s="9" t="s">
        <v>325</v>
      </c>
      <c r="T6" s="10" t="s">
        <v>414</v>
      </c>
      <c r="V6" s="377" t="s">
        <v>151</v>
      </c>
      <c r="W6" s="377"/>
      <c r="X6" s="377"/>
    </row>
    <row r="7" spans="2:25" ht="17.25" thickBot="1" x14ac:dyDescent="0.35">
      <c r="B7" s="100" t="s">
        <v>122</v>
      </c>
      <c r="C7" s="32">
        <v>0.5</v>
      </c>
      <c r="E7" s="16" t="s">
        <v>352</v>
      </c>
      <c r="F7" s="12" t="s">
        <v>2</v>
      </c>
      <c r="G7" s="13" t="s">
        <v>315</v>
      </c>
      <c r="H7" s="13" t="s">
        <v>204</v>
      </c>
      <c r="I7" s="13" t="s">
        <v>304</v>
      </c>
      <c r="J7" s="13" t="s">
        <v>304</v>
      </c>
      <c r="K7" s="15" t="s">
        <v>204</v>
      </c>
      <c r="L7" s="14" t="s">
        <v>275</v>
      </c>
      <c r="M7" s="13" t="s">
        <v>141</v>
      </c>
      <c r="N7" s="13" t="s">
        <v>276</v>
      </c>
      <c r="O7" s="13" t="s">
        <v>277</v>
      </c>
      <c r="P7" s="13" t="s">
        <v>273</v>
      </c>
      <c r="Q7" s="13" t="s">
        <v>278</v>
      </c>
      <c r="R7" s="102" t="s">
        <v>326</v>
      </c>
      <c r="S7" s="102" t="s">
        <v>326</v>
      </c>
      <c r="T7" s="15" t="s">
        <v>138</v>
      </c>
      <c r="V7" s="241" t="s">
        <v>156</v>
      </c>
      <c r="W7" s="241"/>
    </row>
    <row r="8" spans="2:25" ht="17.25" thickBot="1" x14ac:dyDescent="0.35">
      <c r="B8" s="100" t="s">
        <v>349</v>
      </c>
      <c r="C8" s="32">
        <v>1</v>
      </c>
      <c r="E8" s="16"/>
      <c r="F8" s="12"/>
      <c r="G8" s="92" t="s">
        <v>131</v>
      </c>
      <c r="H8" s="92" t="s">
        <v>131</v>
      </c>
      <c r="I8" s="92" t="s">
        <v>131</v>
      </c>
      <c r="J8" s="92"/>
      <c r="K8" s="94" t="s">
        <v>131</v>
      </c>
      <c r="L8" s="93" t="s">
        <v>131</v>
      </c>
      <c r="M8" s="92" t="s">
        <v>142</v>
      </c>
      <c r="N8" s="98" t="s">
        <v>129</v>
      </c>
      <c r="O8" s="92" t="s">
        <v>131</v>
      </c>
      <c r="P8" s="92" t="s">
        <v>142</v>
      </c>
      <c r="Q8" s="98" t="s">
        <v>129</v>
      </c>
      <c r="R8" s="103" t="s">
        <v>129</v>
      </c>
      <c r="S8" s="103" t="s">
        <v>129</v>
      </c>
      <c r="T8" s="94"/>
      <c r="V8" s="378" t="s">
        <v>336</v>
      </c>
      <c r="W8" s="378" t="s">
        <v>152</v>
      </c>
      <c r="X8" s="378" t="s">
        <v>150</v>
      </c>
    </row>
    <row r="9" spans="2:25" ht="17.25" thickBot="1" x14ac:dyDescent="0.35">
      <c r="B9" s="100" t="s">
        <v>241</v>
      </c>
      <c r="C9" s="32">
        <v>0.1</v>
      </c>
      <c r="E9" s="16" t="s">
        <v>3</v>
      </c>
      <c r="F9" s="12" t="s">
        <v>4</v>
      </c>
      <c r="G9" s="431">
        <f>VTPB!AL10</f>
        <v>0.84700000000000009</v>
      </c>
      <c r="H9" s="361">
        <f>'Reference VO 2017'!E5</f>
        <v>0.77</v>
      </c>
      <c r="I9" s="90">
        <f t="shared" ref="I9:I26" si="0">G9-H9</f>
        <v>7.7000000000000068E-2</v>
      </c>
      <c r="J9" s="400">
        <f t="shared" ref="J9:J26" si="1">IFERROR(+G9/H9-1,"")</f>
        <v>0.10000000000000009</v>
      </c>
      <c r="K9" s="430">
        <f>'CWD Tariffs'!$Q$9</f>
        <v>2.2862786984457464</v>
      </c>
      <c r="L9" s="405">
        <f>VTPB!AO10</f>
        <v>0.60498681572974122</v>
      </c>
      <c r="M9" s="409">
        <f>'Reference VO 2017'!F5</f>
        <v>2165.1669999999999</v>
      </c>
      <c r="N9" s="409">
        <f t="shared" ref="N9:N32" si="2">L9*M9*GCV</f>
        <v>14657.752900266374</v>
      </c>
      <c r="O9" s="461">
        <f t="shared" ref="O9:O26" si="3">G9-L9</f>
        <v>0.24201318427025886</v>
      </c>
      <c r="P9" s="409">
        <f>Forecasts!F5/GCV/1000</f>
        <v>1655.3355227882039</v>
      </c>
      <c r="Q9" s="409">
        <f t="shared" ref="Q9:Q32" si="4">P9*O9*GCV</f>
        <v>4482.8597039341885</v>
      </c>
      <c r="R9" s="409">
        <f t="shared" ref="R9:R32" si="5">IFERROR(N9+Q9,0)</f>
        <v>19140.612604200564</v>
      </c>
      <c r="S9" s="409">
        <f t="shared" ref="S9:S32" si="6">H9*M9*GCV</f>
        <v>18655.728422099997</v>
      </c>
      <c r="T9" s="396">
        <f>IFERROR(+R9/S9-1,"")</f>
        <v>2.5991168563869183E-2</v>
      </c>
      <c r="U9" s="425" t="s">
        <v>57</v>
      </c>
      <c r="V9" s="426">
        <f>+$M$48*G46*GCV</f>
        <v>41129.382455700004</v>
      </c>
      <c r="W9" s="426">
        <f>M48*H46*GCV</f>
        <v>37390.347687000009</v>
      </c>
      <c r="X9" s="426">
        <f>V9-W9</f>
        <v>3739.0347686999958</v>
      </c>
      <c r="Y9" s="52" t="s">
        <v>154</v>
      </c>
    </row>
    <row r="10" spans="2:25" ht="17.25" thickBot="1" x14ac:dyDescent="0.35">
      <c r="B10" s="100" t="s">
        <v>335</v>
      </c>
      <c r="C10" s="68">
        <f>(1+max_increase)*Overview!H18+'Benchmark Murfeld'!G2</f>
        <v>1.8999957199999997</v>
      </c>
      <c r="E10" s="16" t="s">
        <v>5</v>
      </c>
      <c r="F10" s="12" t="s">
        <v>6</v>
      </c>
      <c r="G10" s="431">
        <f>VTPB!AL11</f>
        <v>1.1237380354023243</v>
      </c>
      <c r="H10" s="361">
        <f>'Reference VO 2017'!E6</f>
        <v>1.3</v>
      </c>
      <c r="I10" s="90">
        <f t="shared" si="0"/>
        <v>-0.17626196459767574</v>
      </c>
      <c r="J10" s="363">
        <f t="shared" si="1"/>
        <v>-0.1355861266135967</v>
      </c>
      <c r="K10" s="403">
        <f>'CWD Tariffs'!$Q$9</f>
        <v>2.2862786984457464</v>
      </c>
      <c r="L10" s="405">
        <f>VTPB!AO11</f>
        <v>0.88172485113206545</v>
      </c>
      <c r="M10" s="409">
        <f>'Reference VO 2017'!F6</f>
        <v>862.4670000000001</v>
      </c>
      <c r="N10" s="409">
        <f t="shared" si="2"/>
        <v>8509.5315905589614</v>
      </c>
      <c r="O10" s="461">
        <f t="shared" si="3"/>
        <v>0.24201318427025886</v>
      </c>
      <c r="P10" s="409">
        <f>Forecasts!F6/GCV/1000</f>
        <v>922.18705956042118</v>
      </c>
      <c r="Q10" s="409">
        <f t="shared" si="4"/>
        <v>2497.400165635127</v>
      </c>
      <c r="R10" s="409">
        <f t="shared" si="5"/>
        <v>11006.931756194088</v>
      </c>
      <c r="S10" s="409">
        <f t="shared" si="6"/>
        <v>12546.307449</v>
      </c>
      <c r="T10" s="396">
        <f>IFERROR(+R10/S10-1,"")</f>
        <v>-0.12269551810868529</v>
      </c>
      <c r="U10" s="425" t="s">
        <v>69</v>
      </c>
      <c r="V10" s="426">
        <f>R48</f>
        <v>232269.38604686339</v>
      </c>
      <c r="W10" s="426">
        <f>S48</f>
        <v>224827.67505300004</v>
      </c>
      <c r="X10" s="426">
        <f>V10-W10</f>
        <v>7441.7109938633512</v>
      </c>
    </row>
    <row r="11" spans="2:25" ht="15.75" x14ac:dyDescent="0.3">
      <c r="D11" s="262"/>
      <c r="E11" s="16" t="s">
        <v>7</v>
      </c>
      <c r="F11" s="12" t="s">
        <v>8</v>
      </c>
      <c r="G11" s="431">
        <f>VTPB!AL12</f>
        <v>1.1237380354023243</v>
      </c>
      <c r="H11" s="361">
        <f>'Reference VO 2017'!E7</f>
        <v>1.3</v>
      </c>
      <c r="I11" s="90">
        <f t="shared" si="0"/>
        <v>-0.17626196459767574</v>
      </c>
      <c r="J11" s="363">
        <f t="shared" si="1"/>
        <v>-0.1355861266135967</v>
      </c>
      <c r="K11" s="403">
        <f>'CWD Tariffs'!$Q$9</f>
        <v>2.2862786984457464</v>
      </c>
      <c r="L11" s="405">
        <f>VTPB!AO12</f>
        <v>0.88172485113206545</v>
      </c>
      <c r="M11" s="409">
        <f>'Reference VO 2017'!F7</f>
        <v>124.5</v>
      </c>
      <c r="N11" s="409">
        <f t="shared" si="2"/>
        <v>1228.3793849788926</v>
      </c>
      <c r="O11" s="461">
        <f t="shared" si="3"/>
        <v>0.24201318427025886</v>
      </c>
      <c r="P11" s="409">
        <f>Forecasts!F7/GCV/1000</f>
        <v>206.59617766461972</v>
      </c>
      <c r="Q11" s="409">
        <f t="shared" si="4"/>
        <v>559.48879673625515</v>
      </c>
      <c r="R11" s="409">
        <f t="shared" si="5"/>
        <v>1787.8681817151478</v>
      </c>
      <c r="S11" s="409">
        <f t="shared" si="6"/>
        <v>1811.1014999999998</v>
      </c>
      <c r="T11" s="396">
        <f>IFERROR(+R11/S11-1,"")</f>
        <v>-1.2828280626376865E-2</v>
      </c>
      <c r="U11" s="425" t="s">
        <v>128</v>
      </c>
      <c r="V11" s="427">
        <f>V9+V10</f>
        <v>273398.76850256341</v>
      </c>
      <c r="W11" s="427">
        <f>W9+W10</f>
        <v>262218.02274000004</v>
      </c>
      <c r="X11" s="428">
        <f>V11/W11-1</f>
        <v>4.2639120094538852E-2</v>
      </c>
      <c r="Y11" s="429"/>
    </row>
    <row r="12" spans="2:25" ht="15.75" x14ac:dyDescent="0.3">
      <c r="E12" s="16" t="s">
        <v>9</v>
      </c>
      <c r="F12" s="12" t="s">
        <v>10</v>
      </c>
      <c r="G12" s="431">
        <f>VTPB!AL15</f>
        <v>0.84700000000000009</v>
      </c>
      <c r="H12" s="361">
        <f>'Reference VO 2017'!E8</f>
        <v>0.77</v>
      </c>
      <c r="I12" s="90">
        <f t="shared" si="0"/>
        <v>7.7000000000000068E-2</v>
      </c>
      <c r="J12" s="363">
        <f t="shared" si="1"/>
        <v>0.10000000000000009</v>
      </c>
      <c r="K12" s="403">
        <f>'CWD Tariffs'!$Q$9</f>
        <v>2.2862786984457464</v>
      </c>
      <c r="L12" s="405">
        <f>VTPB!AO15</f>
        <v>0.60498681572974122</v>
      </c>
      <c r="M12" s="409">
        <f>'Reference VO 2017'!F8</f>
        <v>0</v>
      </c>
      <c r="N12" s="409">
        <f t="shared" si="2"/>
        <v>0</v>
      </c>
      <c r="O12" s="461">
        <f t="shared" si="3"/>
        <v>0.24201318427025886</v>
      </c>
      <c r="P12" s="409">
        <f>Forecasts!F8/GCV/1000</f>
        <v>0</v>
      </c>
      <c r="Q12" s="409">
        <f t="shared" si="4"/>
        <v>0</v>
      </c>
      <c r="R12" s="409">
        <f t="shared" si="5"/>
        <v>0</v>
      </c>
      <c r="S12" s="409">
        <f t="shared" si="6"/>
        <v>0</v>
      </c>
      <c r="T12" s="396" t="str">
        <f t="shared" ref="T12:T31" si="7">IFERROR(+R12/S12-1,"n.a.")</f>
        <v>n.a.</v>
      </c>
    </row>
    <row r="13" spans="2:25" ht="15.75" x14ac:dyDescent="0.3">
      <c r="D13" s="262"/>
      <c r="E13" s="16" t="s">
        <v>11</v>
      </c>
      <c r="F13" s="12" t="s">
        <v>12</v>
      </c>
      <c r="G13" s="431">
        <f>VTPB!AL16</f>
        <v>1.1237380354023243</v>
      </c>
      <c r="H13" s="361">
        <f>'Reference VO 2017'!E9</f>
        <v>1.1000000000000001</v>
      </c>
      <c r="I13" s="90">
        <f t="shared" si="0"/>
        <v>2.373803540232422E-2</v>
      </c>
      <c r="J13" s="363">
        <f t="shared" si="1"/>
        <v>2.1580032183931008E-2</v>
      </c>
      <c r="K13" s="403">
        <f>'CWD Tariffs'!$Q$9</f>
        <v>2.2862786984457464</v>
      </c>
      <c r="L13" s="405">
        <f>VTPB!AO16</f>
        <v>0.88172485113206545</v>
      </c>
      <c r="M13" s="409">
        <f>'Reference VO 2017'!F9</f>
        <v>0</v>
      </c>
      <c r="N13" s="409">
        <f t="shared" si="2"/>
        <v>0</v>
      </c>
      <c r="O13" s="461">
        <f t="shared" si="3"/>
        <v>0.24201318427025886</v>
      </c>
      <c r="P13" s="409">
        <f>Forecasts!F9/GCV/1000</f>
        <v>0</v>
      </c>
      <c r="Q13" s="409">
        <f t="shared" si="4"/>
        <v>0</v>
      </c>
      <c r="R13" s="409">
        <f t="shared" si="5"/>
        <v>0</v>
      </c>
      <c r="S13" s="409">
        <f t="shared" si="6"/>
        <v>0</v>
      </c>
      <c r="T13" s="396" t="str">
        <f t="shared" si="7"/>
        <v>n.a.</v>
      </c>
      <c r="V13" s="241" t="s">
        <v>157</v>
      </c>
      <c r="W13" s="241"/>
    </row>
    <row r="14" spans="2:25" ht="16.5" thickBot="1" x14ac:dyDescent="0.35">
      <c r="B14" s="33"/>
      <c r="E14" s="16" t="s">
        <v>13</v>
      </c>
      <c r="F14" s="12" t="s">
        <v>14</v>
      </c>
      <c r="G14" s="431">
        <f>VTPB!AL17</f>
        <v>0.84700000000000009</v>
      </c>
      <c r="H14" s="361">
        <f>'Reference VO 2017'!E10</f>
        <v>0.77</v>
      </c>
      <c r="I14" s="90">
        <f t="shared" si="0"/>
        <v>7.7000000000000068E-2</v>
      </c>
      <c r="J14" s="363">
        <f t="shared" si="1"/>
        <v>0.10000000000000009</v>
      </c>
      <c r="K14" s="403">
        <f>'CWD Tariffs'!$Q$9</f>
        <v>2.2862786984457464</v>
      </c>
      <c r="L14" s="405">
        <f>VTPB!AO17</f>
        <v>0.60498681572974122</v>
      </c>
      <c r="M14" s="409">
        <f>'Reference VO 2017'!F10</f>
        <v>0</v>
      </c>
      <c r="N14" s="409">
        <f t="shared" si="2"/>
        <v>0</v>
      </c>
      <c r="O14" s="461">
        <f t="shared" si="3"/>
        <v>0.24201318427025886</v>
      </c>
      <c r="P14" s="409">
        <f>Forecasts!F10/GCV/1000</f>
        <v>0</v>
      </c>
      <c r="Q14" s="409">
        <f t="shared" si="4"/>
        <v>0</v>
      </c>
      <c r="R14" s="409">
        <f t="shared" si="5"/>
        <v>0</v>
      </c>
      <c r="S14" s="409">
        <f t="shared" si="6"/>
        <v>0</v>
      </c>
      <c r="T14" s="396" t="str">
        <f t="shared" si="7"/>
        <v>n.a.</v>
      </c>
      <c r="V14" s="378" t="s">
        <v>336</v>
      </c>
      <c r="W14" s="378" t="s">
        <v>152</v>
      </c>
      <c r="X14" s="378" t="s">
        <v>150</v>
      </c>
    </row>
    <row r="15" spans="2:25" ht="17.25" thickBot="1" x14ac:dyDescent="0.35">
      <c r="B15" s="87" t="s">
        <v>421</v>
      </c>
      <c r="C15" s="277">
        <f>VTPB!T65</f>
        <v>0.19110510981826498</v>
      </c>
      <c r="E15" s="16" t="s">
        <v>15</v>
      </c>
      <c r="F15" s="12" t="s">
        <v>16</v>
      </c>
      <c r="G15" s="431">
        <f>VTPB!AL33</f>
        <v>1.2320000000000002</v>
      </c>
      <c r="H15" s="361">
        <f>'Reference VO 2017'!E11</f>
        <v>1.1200000000000001</v>
      </c>
      <c r="I15" s="90">
        <f t="shared" si="0"/>
        <v>0.1120000000000001</v>
      </c>
      <c r="J15" s="363">
        <f t="shared" si="1"/>
        <v>0.10000000000000009</v>
      </c>
      <c r="K15" s="403">
        <f>'CWD Tariffs'!$Q$22</f>
        <v>0.53797142504319928</v>
      </c>
      <c r="L15" s="405">
        <f>VTPB!AO33</f>
        <v>0.80790851993833368</v>
      </c>
      <c r="M15" s="409">
        <f>'Reference VO 2017'!F11</f>
        <v>485.83300000000003</v>
      </c>
      <c r="N15" s="409">
        <f t="shared" si="2"/>
        <v>4392.1714574329735</v>
      </c>
      <c r="O15" s="461">
        <f t="shared" si="3"/>
        <v>0.42409148006166653</v>
      </c>
      <c r="P15" s="409">
        <f>Forecasts!F11/GCV/1000</f>
        <v>708.91195456248568</v>
      </c>
      <c r="Q15" s="409">
        <f t="shared" si="4"/>
        <v>3364.2009892902724</v>
      </c>
      <c r="R15" s="409">
        <f t="shared" si="5"/>
        <v>7756.372446723246</v>
      </c>
      <c r="S15" s="409">
        <f t="shared" si="6"/>
        <v>6088.8478224</v>
      </c>
      <c r="T15" s="396">
        <f t="shared" si="7"/>
        <v>0.27386538027583174</v>
      </c>
      <c r="U15" s="425" t="s">
        <v>57</v>
      </c>
      <c r="V15" s="426">
        <f>M16*G9*GCV</f>
        <v>13264.296689490002</v>
      </c>
      <c r="W15" s="426">
        <f>M16*H9*GCV</f>
        <v>12058.4515359</v>
      </c>
      <c r="X15" s="426">
        <f>V15-W15</f>
        <v>1205.8451535900022</v>
      </c>
      <c r="Y15" s="52" t="s">
        <v>155</v>
      </c>
    </row>
    <row r="16" spans="2:25" ht="17.25" thickBot="1" x14ac:dyDescent="0.35">
      <c r="B16" s="87" t="s">
        <v>134</v>
      </c>
      <c r="C16" s="99">
        <f>costs_GCA+costs_TAG</f>
        <v>431000000</v>
      </c>
      <c r="E16" s="16" t="s">
        <v>17</v>
      </c>
      <c r="F16" s="12" t="s">
        <v>18</v>
      </c>
      <c r="G16" s="431">
        <f>VTPB!AL36</f>
        <v>3.4858131401402588</v>
      </c>
      <c r="H16" s="361">
        <f>'Reference VO 2017'!E12</f>
        <v>3.44</v>
      </c>
      <c r="I16" s="90">
        <f t="shared" si="0"/>
        <v>4.5813140140258835E-2</v>
      </c>
      <c r="J16" s="363">
        <f t="shared" si="1"/>
        <v>1.3317773296586788E-2</v>
      </c>
      <c r="K16" s="403">
        <f>'CWD Tariffs'!Q23</f>
        <v>1.7748332631610644</v>
      </c>
      <c r="L16" s="405">
        <f>VTPB!AO36</f>
        <v>2.7584827555580329</v>
      </c>
      <c r="M16" s="409">
        <f>'Reference VO 2017'!F12</f>
        <v>1399.4929999999999</v>
      </c>
      <c r="N16" s="409">
        <f t="shared" si="2"/>
        <v>43198.741065600552</v>
      </c>
      <c r="O16" s="461">
        <f t="shared" si="3"/>
        <v>0.72733038458222588</v>
      </c>
      <c r="P16" s="409">
        <f>Forecasts!F12/GCV/1000</f>
        <v>1329.1746205805343</v>
      </c>
      <c r="Q16" s="409">
        <f t="shared" si="4"/>
        <v>10817.922294314632</v>
      </c>
      <c r="R16" s="409">
        <f t="shared" si="5"/>
        <v>54016.663359915183</v>
      </c>
      <c r="S16" s="409">
        <f t="shared" si="6"/>
        <v>53871.52374479999</v>
      </c>
      <c r="T16" s="396">
        <f t="shared" si="7"/>
        <v>2.6941806176254968E-3</v>
      </c>
      <c r="U16" s="425" t="s">
        <v>69</v>
      </c>
      <c r="V16" s="426">
        <f>R16</f>
        <v>54016.663359915183</v>
      </c>
      <c r="W16" s="426">
        <f>S16</f>
        <v>53871.52374479999</v>
      </c>
      <c r="X16" s="426">
        <f>V16-W16</f>
        <v>145.13961511519301</v>
      </c>
    </row>
    <row r="17" spans="2:25" ht="17.25" thickBot="1" x14ac:dyDescent="0.35">
      <c r="B17" s="88" t="s">
        <v>317</v>
      </c>
      <c r="C17" s="99">
        <f>Costscalc!C2</f>
        <v>138000000</v>
      </c>
      <c r="E17" s="16" t="s">
        <v>19</v>
      </c>
      <c r="F17" s="12" t="s">
        <v>20</v>
      </c>
      <c r="G17" s="431">
        <f>VTPB!AL35</f>
        <v>1.8999957199999997</v>
      </c>
      <c r="H17" s="361">
        <f>'Reference VO 2017'!E13</f>
        <v>3.33</v>
      </c>
      <c r="I17" s="90">
        <f t="shared" si="0"/>
        <v>-1.4300042800000003</v>
      </c>
      <c r="J17" s="363">
        <f t="shared" si="1"/>
        <v>-0.42943071471471483</v>
      </c>
      <c r="K17" s="403">
        <f>'CWD Tariffs'!Q26</f>
        <v>0.41543113486441718</v>
      </c>
      <c r="L17" s="405">
        <f>VTPB!AO35</f>
        <v>1.2638842656879681</v>
      </c>
      <c r="M17" s="409">
        <f>'Reference VO 2017'!F13</f>
        <v>302.27199999999999</v>
      </c>
      <c r="N17" s="409">
        <f t="shared" si="2"/>
        <v>4274.9920690423951</v>
      </c>
      <c r="O17" s="461">
        <f t="shared" si="3"/>
        <v>0.63611145431203164</v>
      </c>
      <c r="P17" s="409">
        <f>Forecasts!F13/GCV/1000</f>
        <v>161.82752232036907</v>
      </c>
      <c r="Q17" s="409">
        <f t="shared" si="4"/>
        <v>1151.9024109886252</v>
      </c>
      <c r="R17" s="409">
        <f t="shared" si="5"/>
        <v>5426.8944800310201</v>
      </c>
      <c r="S17" s="409">
        <f t="shared" si="6"/>
        <v>11263.470854399999</v>
      </c>
      <c r="T17" s="396">
        <f t="shared" si="7"/>
        <v>-0.51818630773914243</v>
      </c>
      <c r="U17" s="425" t="s">
        <v>128</v>
      </c>
      <c r="V17" s="427">
        <f>V15+V16</f>
        <v>67280.960049405185</v>
      </c>
      <c r="W17" s="427">
        <f>W15+W16</f>
        <v>65929.97528069999</v>
      </c>
      <c r="X17" s="428">
        <f>V17/W17-1</f>
        <v>2.0491206965470798E-2</v>
      </c>
      <c r="Y17" s="429"/>
    </row>
    <row r="18" spans="2:25" ht="17.25" thickBot="1" x14ac:dyDescent="0.35">
      <c r="B18" s="95" t="s">
        <v>293</v>
      </c>
      <c r="C18" s="99">
        <f>Costscalc!C3</f>
        <v>11000000</v>
      </c>
      <c r="E18" s="16" t="s">
        <v>21</v>
      </c>
      <c r="F18" s="12" t="s">
        <v>22</v>
      </c>
      <c r="G18" s="431">
        <f>VTPB!AL34</f>
        <v>1.2320000000000002</v>
      </c>
      <c r="H18" s="361">
        <f>'Reference VO 2017'!E14</f>
        <v>1.1200000000000001</v>
      </c>
      <c r="I18" s="90">
        <f t="shared" si="0"/>
        <v>0.1120000000000001</v>
      </c>
      <c r="J18" s="363">
        <f t="shared" si="1"/>
        <v>0.10000000000000009</v>
      </c>
      <c r="K18" s="403">
        <f>'CWD Tariffs'!$Q$22</f>
        <v>0.53797142504319928</v>
      </c>
      <c r="L18" s="405">
        <f>VTPB!AO34</f>
        <v>0.80790851993833368</v>
      </c>
      <c r="M18" s="409">
        <f>'Reference VO 2017'!F14</f>
        <v>570</v>
      </c>
      <c r="N18" s="409">
        <f t="shared" si="2"/>
        <v>5153.0829127226734</v>
      </c>
      <c r="O18" s="461">
        <f t="shared" si="3"/>
        <v>0.42409148006166653</v>
      </c>
      <c r="P18" s="409">
        <f>Forecasts!F14/GCV/1000</f>
        <v>573.29457463520635</v>
      </c>
      <c r="Q18" s="409">
        <f t="shared" si="4"/>
        <v>2720.6173668390397</v>
      </c>
      <c r="R18" s="409">
        <f t="shared" si="5"/>
        <v>7873.7002795617136</v>
      </c>
      <c r="S18" s="409">
        <f t="shared" si="6"/>
        <v>7143.6960000000008</v>
      </c>
      <c r="T18" s="396">
        <f t="shared" si="7"/>
        <v>0.10218859810967773</v>
      </c>
    </row>
    <row r="19" spans="2:25" ht="17.25" thickBot="1" x14ac:dyDescent="0.35">
      <c r="B19" s="88" t="s">
        <v>318</v>
      </c>
      <c r="C19" s="99">
        <f>Costscalc!C6</f>
        <v>293000000</v>
      </c>
      <c r="E19" s="16" t="s">
        <v>353</v>
      </c>
      <c r="F19" s="12" t="s">
        <v>23</v>
      </c>
      <c r="G19" s="431">
        <f>VTPB!AL37</f>
        <v>1.2320000000000002</v>
      </c>
      <c r="H19" s="361">
        <f>'Reference VO 2017'!E15</f>
        <v>1.1200000000000001</v>
      </c>
      <c r="I19" s="90">
        <f t="shared" si="0"/>
        <v>0.1120000000000001</v>
      </c>
      <c r="J19" s="363">
        <f t="shared" si="1"/>
        <v>0.10000000000000009</v>
      </c>
      <c r="K19" s="403">
        <f>'CWD Tariffs'!$Q$22</f>
        <v>0.53797142504319928</v>
      </c>
      <c r="L19" s="405">
        <f>VTPB!AO37</f>
        <v>0.80790851993833368</v>
      </c>
      <c r="M19" s="409">
        <f>'Reference VO 2017'!F15</f>
        <v>0</v>
      </c>
      <c r="N19" s="409">
        <f t="shared" si="2"/>
        <v>0</v>
      </c>
      <c r="O19" s="461">
        <f t="shared" si="3"/>
        <v>0.42409148006166653</v>
      </c>
      <c r="P19" s="409">
        <f>Forecasts!F15/GCV/1000</f>
        <v>0</v>
      </c>
      <c r="Q19" s="409">
        <f t="shared" si="4"/>
        <v>0</v>
      </c>
      <c r="R19" s="409">
        <f t="shared" si="5"/>
        <v>0</v>
      </c>
      <c r="S19" s="409">
        <f t="shared" si="6"/>
        <v>0</v>
      </c>
      <c r="T19" s="396" t="str">
        <f t="shared" si="7"/>
        <v>n.a.</v>
      </c>
      <c r="V19" s="241" t="s">
        <v>153</v>
      </c>
      <c r="W19" s="241"/>
    </row>
    <row r="20" spans="2:25" ht="17.25" thickBot="1" x14ac:dyDescent="0.35">
      <c r="B20" s="95" t="s">
        <v>296</v>
      </c>
      <c r="C20" s="99">
        <f>Costscalc!C7</f>
        <v>80000000</v>
      </c>
      <c r="E20" s="16" t="s">
        <v>354</v>
      </c>
      <c r="F20" s="12" t="s">
        <v>25</v>
      </c>
      <c r="G20" s="431">
        <f>VTPB!AL57</f>
        <v>0.46889659827290503</v>
      </c>
      <c r="H20" s="361">
        <f>'Reference VO 2017'!E16</f>
        <v>0.53</v>
      </c>
      <c r="I20" s="90">
        <f t="shared" si="0"/>
        <v>-6.1103401727094997E-2</v>
      </c>
      <c r="J20" s="363">
        <f t="shared" si="1"/>
        <v>-0.11528943722093399</v>
      </c>
      <c r="K20" s="403">
        <f>'CWD Tariffs'!Q28</f>
        <v>0.65534378655105607</v>
      </c>
      <c r="L20" s="405">
        <f>VTPB!AO57</f>
        <v>0.37105924169635401</v>
      </c>
      <c r="M20" s="409">
        <f>'Reference VO 2017'!F16</f>
        <v>1914.4588918677391</v>
      </c>
      <c r="N20" s="409">
        <f t="shared" si="2"/>
        <v>7949.1260677164437</v>
      </c>
      <c r="O20" s="461">
        <f t="shared" si="3"/>
        <v>9.7837356576551016E-2</v>
      </c>
      <c r="P20" s="409">
        <f>Forecasts!F16/GCV/1000</f>
        <v>1914.4588918677391</v>
      </c>
      <c r="Q20" s="409">
        <f t="shared" si="4"/>
        <v>2095.9496332813542</v>
      </c>
      <c r="R20" s="409">
        <f t="shared" si="5"/>
        <v>10045.075700997797</v>
      </c>
      <c r="S20" s="409">
        <f t="shared" si="6"/>
        <v>11354.08135</v>
      </c>
      <c r="T20" s="396">
        <f t="shared" si="7"/>
        <v>-0.1152894372209341</v>
      </c>
      <c r="V20" s="378" t="s">
        <v>336</v>
      </c>
      <c r="W20" s="378" t="s">
        <v>152</v>
      </c>
      <c r="X20" s="378" t="s">
        <v>150</v>
      </c>
    </row>
    <row r="21" spans="2:25" ht="17.25" thickBot="1" x14ac:dyDescent="0.35">
      <c r="B21" s="87" t="s">
        <v>243</v>
      </c>
      <c r="C21" s="99">
        <f>-T38*1000</f>
        <v>10111996.513489749</v>
      </c>
      <c r="E21" s="16" t="s">
        <v>355</v>
      </c>
      <c r="F21" s="12"/>
      <c r="G21" s="431">
        <f>VTPB!AL18</f>
        <v>0</v>
      </c>
      <c r="H21" s="361">
        <f>'Reference VO 2017'!E17</f>
        <v>0</v>
      </c>
      <c r="I21" s="90">
        <f t="shared" si="0"/>
        <v>0</v>
      </c>
      <c r="J21" s="363" t="str">
        <f t="shared" si="1"/>
        <v/>
      </c>
      <c r="K21" s="403">
        <f>'CWD Tariffs'!$Q$9</f>
        <v>2.2862786984457464</v>
      </c>
      <c r="L21" s="405">
        <f>VTPB!AO18</f>
        <v>0</v>
      </c>
      <c r="M21" s="409">
        <f>'Reference VO 2017'!F17</f>
        <v>969.43699731903484</v>
      </c>
      <c r="N21" s="409">
        <f t="shared" si="2"/>
        <v>0</v>
      </c>
      <c r="O21" s="461">
        <f t="shared" si="3"/>
        <v>0</v>
      </c>
      <c r="P21" s="409">
        <f>Forecasts!F17/GCV/1000</f>
        <v>969.43699731903484</v>
      </c>
      <c r="Q21" s="409">
        <f t="shared" si="4"/>
        <v>0</v>
      </c>
      <c r="R21" s="409">
        <f t="shared" si="5"/>
        <v>0</v>
      </c>
      <c r="S21" s="409">
        <f t="shared" si="6"/>
        <v>0</v>
      </c>
      <c r="T21" s="396" t="str">
        <f t="shared" si="7"/>
        <v>n.a.</v>
      </c>
      <c r="U21" s="389" t="s">
        <v>249</v>
      </c>
      <c r="V21" s="426">
        <f>R20+R24+R25</f>
        <v>13005.155593281364</v>
      </c>
      <c r="W21" s="426">
        <f>S20+S24+S25</f>
        <v>14720.941510000001</v>
      </c>
      <c r="X21" s="426">
        <f>V21-W21</f>
        <v>-1715.7859167186361</v>
      </c>
    </row>
    <row r="22" spans="2:25" ht="17.25" thickBot="1" x14ac:dyDescent="0.35">
      <c r="B22" s="1" t="s">
        <v>177</v>
      </c>
      <c r="C22" s="277">
        <f>CAA!L31</f>
        <v>1.62355438404614E-2</v>
      </c>
      <c r="E22" s="16" t="s">
        <v>26</v>
      </c>
      <c r="F22" s="12" t="s">
        <v>27</v>
      </c>
      <c r="G22" s="431">
        <f>VTPB!AL38</f>
        <v>3.4858131401402588</v>
      </c>
      <c r="H22" s="361">
        <f>'Reference VO 2017'!E18</f>
        <v>3.44</v>
      </c>
      <c r="I22" s="90">
        <f t="shared" si="0"/>
        <v>4.5813140140258835E-2</v>
      </c>
      <c r="J22" s="363">
        <f t="shared" si="1"/>
        <v>1.3317773296586788E-2</v>
      </c>
      <c r="K22" s="403">
        <f>'CWD Tariffs'!Q23</f>
        <v>1.7748332631610644</v>
      </c>
      <c r="L22" s="405">
        <f>VTPB!AO38</f>
        <v>2.7584827555580329</v>
      </c>
      <c r="M22" s="409">
        <f>'Reference VO 2017'!F18</f>
        <v>23.730000000000004</v>
      </c>
      <c r="N22" s="409">
        <f t="shared" si="2"/>
        <v>732.48392488329785</v>
      </c>
      <c r="O22" s="461">
        <f t="shared" si="3"/>
        <v>0.72733038458222588</v>
      </c>
      <c r="P22" s="409">
        <f>Forecasts!F18/GCV/1000</f>
        <v>0</v>
      </c>
      <c r="Q22" s="409">
        <f t="shared" si="4"/>
        <v>0</v>
      </c>
      <c r="R22" s="409">
        <f t="shared" si="5"/>
        <v>732.48392488329785</v>
      </c>
      <c r="S22" s="409">
        <f t="shared" si="6"/>
        <v>913.45312799999999</v>
      </c>
      <c r="T22" s="396">
        <f t="shared" si="7"/>
        <v>-0.19811547803545548</v>
      </c>
      <c r="U22" s="389" t="s">
        <v>250</v>
      </c>
      <c r="V22" s="426">
        <f>R50+R49</f>
        <v>3582.8773764454527</v>
      </c>
      <c r="W22" s="426">
        <f>S50+S49</f>
        <v>3870.0743599999996</v>
      </c>
      <c r="X22" s="426">
        <f>V22-W22</f>
        <v>-287.19698355454693</v>
      </c>
    </row>
    <row r="23" spans="2:25" ht="17.25" thickBot="1" x14ac:dyDescent="0.35">
      <c r="B23" s="1" t="s">
        <v>334</v>
      </c>
      <c r="C23" s="140">
        <f>SUM(CAA!F21,CAA!F23)/SUM(CAA!F21:F24)</f>
        <v>6.4835990226538839E-2</v>
      </c>
      <c r="E23" s="16" t="s">
        <v>356</v>
      </c>
      <c r="F23" s="12" t="s">
        <v>28</v>
      </c>
      <c r="G23" s="431">
        <f>VTPB!AM12</f>
        <v>1.0113642318620919</v>
      </c>
      <c r="H23" s="361">
        <f>'Reference VO 2017'!E19</f>
        <v>1.1700000000000002</v>
      </c>
      <c r="I23" s="90">
        <f t="shared" si="0"/>
        <v>-0.15863576813790825</v>
      </c>
      <c r="J23" s="363">
        <f t="shared" si="1"/>
        <v>-0.13558612661359681</v>
      </c>
      <c r="K23" s="403">
        <f>'CWD Tariffs'!Q10</f>
        <v>2.0576508286011714</v>
      </c>
      <c r="L23" s="405">
        <f>VTPB!AP12</f>
        <v>0.79355236601885892</v>
      </c>
      <c r="M23" s="409">
        <f>'Reference VO 2017'!F19</f>
        <v>300</v>
      </c>
      <c r="N23" s="409">
        <f t="shared" si="2"/>
        <v>2663.9552927253094</v>
      </c>
      <c r="O23" s="461">
        <f t="shared" si="3"/>
        <v>0.21781186584323298</v>
      </c>
      <c r="P23" s="409">
        <f>Forecasts!F19/GCV/1000</f>
        <v>300</v>
      </c>
      <c r="Q23" s="409">
        <f t="shared" si="4"/>
        <v>731.19443363573305</v>
      </c>
      <c r="R23" s="409">
        <f t="shared" si="5"/>
        <v>3395.1497263610427</v>
      </c>
      <c r="S23" s="409">
        <f t="shared" si="6"/>
        <v>3927.6900000000005</v>
      </c>
      <c r="T23" s="396">
        <f t="shared" si="7"/>
        <v>-0.1355861266135967</v>
      </c>
      <c r="U23" s="425" t="s">
        <v>128</v>
      </c>
      <c r="V23" s="427">
        <f>V21+V22</f>
        <v>16588.032969726817</v>
      </c>
      <c r="W23" s="427">
        <f>W21+W22</f>
        <v>18591.015869999999</v>
      </c>
      <c r="X23" s="428">
        <f>V23/W23-1</f>
        <v>-0.10773929269273341</v>
      </c>
      <c r="Y23" s="429"/>
    </row>
    <row r="24" spans="2:25" ht="15.75" x14ac:dyDescent="0.3">
      <c r="B24" s="52"/>
      <c r="C24" s="52"/>
      <c r="E24" s="16" t="s">
        <v>357</v>
      </c>
      <c r="F24" s="12" t="s">
        <v>29</v>
      </c>
      <c r="G24" s="431">
        <f>VTPB!AM57</f>
        <v>0.42200693844561454</v>
      </c>
      <c r="H24" s="361">
        <f>'Reference VO 2017'!E20</f>
        <v>0.48</v>
      </c>
      <c r="I24" s="90">
        <f t="shared" si="0"/>
        <v>-5.7993061554385439E-2</v>
      </c>
      <c r="J24" s="363">
        <f t="shared" si="1"/>
        <v>-0.12081887823830295</v>
      </c>
      <c r="K24" s="403">
        <f>'CWD Tariffs'!$Q$30</f>
        <v>0.58980940789595038</v>
      </c>
      <c r="L24" s="405">
        <f>VTPB!AP57</f>
        <v>0.33395331752671864</v>
      </c>
      <c r="M24" s="409">
        <f>'Reference VO 2017'!F20</f>
        <v>414.26532618409294</v>
      </c>
      <c r="N24" s="409">
        <f t="shared" si="2"/>
        <v>1548.0836833730652</v>
      </c>
      <c r="O24" s="461">
        <f t="shared" si="3"/>
        <v>8.8053620918895903E-2</v>
      </c>
      <c r="P24" s="409">
        <f>Forecasts!F20/GCV/1000</f>
        <v>414.26532618409294</v>
      </c>
      <c r="Q24" s="409">
        <f t="shared" si="4"/>
        <v>408.18391868664054</v>
      </c>
      <c r="R24" s="409">
        <f t="shared" si="5"/>
        <v>1956.2676020597057</v>
      </c>
      <c r="S24" s="409">
        <f t="shared" si="6"/>
        <v>2225.1019199999996</v>
      </c>
      <c r="T24" s="396">
        <f t="shared" si="7"/>
        <v>-0.12081887823830284</v>
      </c>
      <c r="U24" s="241"/>
      <c r="V24" s="241"/>
      <c r="Y24" s="54"/>
    </row>
    <row r="25" spans="2:25" ht="15.75" x14ac:dyDescent="0.3">
      <c r="B25" s="508" t="s">
        <v>417</v>
      </c>
      <c r="C25" s="509"/>
      <c r="E25" s="16" t="s">
        <v>358</v>
      </c>
      <c r="F25" s="12" t="s">
        <v>30</v>
      </c>
      <c r="G25" s="431">
        <f>VTPB!AM57</f>
        <v>0.42200693844561454</v>
      </c>
      <c r="H25" s="361">
        <f>'Reference VO 2017'!E21</f>
        <v>0.48</v>
      </c>
      <c r="I25" s="90">
        <f t="shared" si="0"/>
        <v>-5.7993061554385439E-2</v>
      </c>
      <c r="J25" s="363">
        <f t="shared" si="1"/>
        <v>-0.12081887823830295</v>
      </c>
      <c r="K25" s="403">
        <f>'CWD Tariffs'!$Q$30</f>
        <v>0.58980940789595038</v>
      </c>
      <c r="L25" s="405">
        <f>VTPB!AP57</f>
        <v>0.33395331752671864</v>
      </c>
      <c r="M25" s="409">
        <f>'Reference VO 2017'!F21</f>
        <v>212.57042001787312</v>
      </c>
      <c r="N25" s="409">
        <f t="shared" si="2"/>
        <v>794.36240012805717</v>
      </c>
      <c r="O25" s="461">
        <f t="shared" si="3"/>
        <v>8.8053620918895903E-2</v>
      </c>
      <c r="P25" s="409">
        <f>Forecasts!F21/GCV/1000</f>
        <v>212.57042001787312</v>
      </c>
      <c r="Q25" s="409">
        <f t="shared" si="4"/>
        <v>209.44989009580368</v>
      </c>
      <c r="R25" s="409">
        <f t="shared" si="5"/>
        <v>1003.8122902238608</v>
      </c>
      <c r="S25" s="409">
        <f t="shared" si="6"/>
        <v>1141.7582400000001</v>
      </c>
      <c r="T25" s="396">
        <f t="shared" si="7"/>
        <v>-0.12081887823830317</v>
      </c>
      <c r="V25" s="241" t="s">
        <v>158</v>
      </c>
      <c r="W25" s="241"/>
    </row>
    <row r="26" spans="2:25" ht="15.75" x14ac:dyDescent="0.3">
      <c r="B26" s="511" t="s">
        <v>418</v>
      </c>
      <c r="C26" s="513" t="b">
        <f>IFERROR(AND(ABS(T35+T54-(costs_GCA+costs_TAG)/1000)&lt;500),FALSE)</f>
        <v>1</v>
      </c>
      <c r="E26" s="16" t="s">
        <v>359</v>
      </c>
      <c r="F26" s="12" t="s">
        <v>31</v>
      </c>
      <c r="G26" s="431">
        <f>VTPB!AM38</f>
        <v>3.1372318261262331</v>
      </c>
      <c r="H26" s="361">
        <f>'Reference VO 2017'!E22</f>
        <v>2.99</v>
      </c>
      <c r="I26" s="90">
        <f t="shared" si="0"/>
        <v>0.14723182612623287</v>
      </c>
      <c r="J26" s="363">
        <f t="shared" si="1"/>
        <v>4.9241413420144875E-2</v>
      </c>
      <c r="K26" s="403">
        <f>'CWD Tariffs'!Q29</f>
        <v>1.597349936844958</v>
      </c>
      <c r="L26" s="405">
        <f>VTPB!AP38</f>
        <v>2.48263448000223</v>
      </c>
      <c r="M26" s="409">
        <f>'Reference VO 2017'!F22</f>
        <v>578.06200000000001</v>
      </c>
      <c r="N26" s="409">
        <f t="shared" si="2"/>
        <v>16058.955344597558</v>
      </c>
      <c r="O26" s="461">
        <f t="shared" si="3"/>
        <v>0.65459734612400311</v>
      </c>
      <c r="P26" s="409">
        <f>Forecasts!F22/GCV/1000</f>
        <v>574.74280607685455</v>
      </c>
      <c r="Q26" s="409">
        <f t="shared" si="4"/>
        <v>4209.959043136223</v>
      </c>
      <c r="R26" s="409">
        <f t="shared" si="5"/>
        <v>20268.914387733781</v>
      </c>
      <c r="S26" s="409">
        <f t="shared" si="6"/>
        <v>19340.856202200001</v>
      </c>
      <c r="T26" s="396">
        <f t="shared" si="7"/>
        <v>4.7984338223258982E-2</v>
      </c>
      <c r="V26" s="378" t="s">
        <v>336</v>
      </c>
      <c r="W26" s="378" t="s">
        <v>152</v>
      </c>
      <c r="X26" s="378" t="s">
        <v>150</v>
      </c>
      <c r="Y26" s="53"/>
    </row>
    <row r="27" spans="2:25" ht="15.75" x14ac:dyDescent="0.3">
      <c r="B27" s="507" t="s">
        <v>419</v>
      </c>
      <c r="C27" s="514" t="b">
        <f>IFERROR(MAX(J9:J32,J46:J51)&lt;=max_increase,FALSE)</f>
        <v>1</v>
      </c>
      <c r="E27" s="16" t="s">
        <v>360</v>
      </c>
      <c r="F27" s="12" t="s">
        <v>32</v>
      </c>
      <c r="G27" s="431">
        <f>H27</f>
        <v>0.14000000000000001</v>
      </c>
      <c r="H27" s="361">
        <f>'Reference VO 2017'!E23</f>
        <v>0.14000000000000001</v>
      </c>
      <c r="I27" s="90">
        <f t="shared" ref="I27:I32" si="8">G27-H27</f>
        <v>0</v>
      </c>
      <c r="J27" s="363">
        <f t="shared" ref="J27:J32" si="9">IFERROR(+G27/H27-1,"")</f>
        <v>0</v>
      </c>
      <c r="K27" s="403" t="s">
        <v>147</v>
      </c>
      <c r="L27" s="405">
        <f>H27</f>
        <v>0.14000000000000001</v>
      </c>
      <c r="M27" s="409">
        <f>'Reference VO 2017'!F23</f>
        <v>0</v>
      </c>
      <c r="N27" s="409">
        <f t="shared" si="2"/>
        <v>0</v>
      </c>
      <c r="O27" s="461">
        <f t="shared" ref="O27:O32" si="10">G27-L27</f>
        <v>0</v>
      </c>
      <c r="P27" s="409">
        <f>Forecasts!F23/GCV/1000</f>
        <v>0</v>
      </c>
      <c r="Q27" s="409">
        <f t="shared" si="4"/>
        <v>0</v>
      </c>
      <c r="R27" s="409">
        <f t="shared" si="5"/>
        <v>0</v>
      </c>
      <c r="S27" s="409">
        <f t="shared" si="6"/>
        <v>0</v>
      </c>
      <c r="T27" s="396" t="str">
        <f t="shared" si="7"/>
        <v>n.a.</v>
      </c>
      <c r="U27" s="425" t="s">
        <v>57</v>
      </c>
      <c r="V27" s="426">
        <f>M15*G10*GCV</f>
        <v>6109.1695444709794</v>
      </c>
      <c r="W27" s="426">
        <f>M15*H10*GCV</f>
        <v>7067.4126510000006</v>
      </c>
      <c r="X27" s="426">
        <f>V27-W27</f>
        <v>-958.24310652902113</v>
      </c>
      <c r="Y27" s="52" t="s">
        <v>159</v>
      </c>
    </row>
    <row r="28" spans="2:25" ht="15.75" x14ac:dyDescent="0.3">
      <c r="B28" s="515" t="s">
        <v>420</v>
      </c>
      <c r="C28" s="516" t="b">
        <f>IFERROR(ABS(T38+T57)&lt;0.5,FALSE)</f>
        <v>1</v>
      </c>
      <c r="E28" s="16" t="s">
        <v>361</v>
      </c>
      <c r="F28" s="12" t="s">
        <v>33</v>
      </c>
      <c r="G28" s="431">
        <f>H28</f>
        <v>0.14000000000000001</v>
      </c>
      <c r="H28" s="361">
        <f>'Reference VO 2017'!E24</f>
        <v>0.14000000000000001</v>
      </c>
      <c r="I28" s="90">
        <f t="shared" si="8"/>
        <v>0</v>
      </c>
      <c r="J28" s="363">
        <f t="shared" si="9"/>
        <v>0</v>
      </c>
      <c r="K28" s="403" t="s">
        <v>147</v>
      </c>
      <c r="L28" s="405">
        <f>H28</f>
        <v>0.14000000000000001</v>
      </c>
      <c r="M28" s="409">
        <f>'Reference VO 2017'!F24</f>
        <v>0</v>
      </c>
      <c r="N28" s="409">
        <f t="shared" si="2"/>
        <v>0</v>
      </c>
      <c r="O28" s="461">
        <f t="shared" si="10"/>
        <v>0</v>
      </c>
      <c r="P28" s="409">
        <f>Forecasts!F24/GCV/1000</f>
        <v>0</v>
      </c>
      <c r="Q28" s="409">
        <f t="shared" si="4"/>
        <v>0</v>
      </c>
      <c r="R28" s="409">
        <f t="shared" si="5"/>
        <v>0</v>
      </c>
      <c r="S28" s="409">
        <f t="shared" si="6"/>
        <v>0</v>
      </c>
      <c r="T28" s="396" t="str">
        <f t="shared" si="7"/>
        <v>n.a.</v>
      </c>
      <c r="U28" s="425" t="s">
        <v>69</v>
      </c>
      <c r="V28" s="426">
        <f>R15</f>
        <v>7756.372446723246</v>
      </c>
      <c r="W28" s="426">
        <f>S15</f>
        <v>6088.8478224</v>
      </c>
      <c r="X28" s="426">
        <f>V28-W28</f>
        <v>1667.5246243232459</v>
      </c>
    </row>
    <row r="29" spans="2:25" ht="15.75" x14ac:dyDescent="0.3">
      <c r="E29" s="16" t="s">
        <v>362</v>
      </c>
      <c r="F29" s="12" t="s">
        <v>34</v>
      </c>
      <c r="G29" s="431">
        <f>VTPB!AL40</f>
        <v>0.42820626615681318</v>
      </c>
      <c r="H29" s="361">
        <f>'Reference VO 2017'!E25</f>
        <v>0.4</v>
      </c>
      <c r="I29" s="90">
        <f t="shared" si="8"/>
        <v>2.8206266156813153E-2</v>
      </c>
      <c r="J29" s="363">
        <f t="shared" si="9"/>
        <v>7.0515665392032911E-2</v>
      </c>
      <c r="K29" s="403">
        <f>'CWD Tariffs'!$Q$26</f>
        <v>0.41543113486441718</v>
      </c>
      <c r="L29" s="405">
        <f>VTPB!AO40</f>
        <v>0.33885912799328494</v>
      </c>
      <c r="M29" s="409">
        <f>'Reference VO 2017'!F25</f>
        <v>263.70196604110811</v>
      </c>
      <c r="N29" s="409">
        <f t="shared" si="2"/>
        <v>999.91398636078486</v>
      </c>
      <c r="O29" s="461">
        <f t="shared" si="10"/>
        <v>8.9347138163528239E-2</v>
      </c>
      <c r="P29" s="409">
        <f>Forecasts!F25/GCV/1000</f>
        <v>157.81054512957996</v>
      </c>
      <c r="Q29" s="409">
        <f t="shared" si="4"/>
        <v>157.77811128297449</v>
      </c>
      <c r="R29" s="409">
        <f t="shared" si="5"/>
        <v>1157.6920976437593</v>
      </c>
      <c r="S29" s="409">
        <f t="shared" si="6"/>
        <v>1180.33</v>
      </c>
      <c r="T29" s="396">
        <f t="shared" si="7"/>
        <v>-1.9179299311413378E-2</v>
      </c>
      <c r="U29" s="425" t="s">
        <v>128</v>
      </c>
      <c r="V29" s="427">
        <f>V27+V28</f>
        <v>13865.541991194226</v>
      </c>
      <c r="W29" s="427">
        <f>W27+W28</f>
        <v>13156.260473400002</v>
      </c>
      <c r="X29" s="428">
        <f>V29/W29-1</f>
        <v>5.391209145093212E-2</v>
      </c>
      <c r="Y29" s="429"/>
    </row>
    <row r="30" spans="2:25" ht="15.75" x14ac:dyDescent="0.3">
      <c r="E30" s="16" t="s">
        <v>363</v>
      </c>
      <c r="F30" s="12"/>
      <c r="G30" s="431">
        <f>VTPB!AL14</f>
        <v>0</v>
      </c>
      <c r="H30" s="361">
        <f>'Reference VO 2017'!E26</f>
        <v>0</v>
      </c>
      <c r="I30" s="90">
        <f t="shared" si="8"/>
        <v>0</v>
      </c>
      <c r="J30" s="363" t="str">
        <f t="shared" si="9"/>
        <v/>
      </c>
      <c r="K30" s="403" t="s">
        <v>147</v>
      </c>
      <c r="L30" s="405">
        <f>VTPB!AO14</f>
        <v>0</v>
      </c>
      <c r="M30" s="409">
        <f>'Reference VO 2017'!F26</f>
        <v>263.70196604110811</v>
      </c>
      <c r="N30" s="409">
        <f t="shared" si="2"/>
        <v>0</v>
      </c>
      <c r="O30" s="461">
        <f t="shared" si="10"/>
        <v>0</v>
      </c>
      <c r="P30" s="409">
        <f>Forecasts!F26/GCV/1000</f>
        <v>157.81054512957996</v>
      </c>
      <c r="Q30" s="409">
        <f t="shared" si="4"/>
        <v>0</v>
      </c>
      <c r="R30" s="409">
        <f t="shared" si="5"/>
        <v>0</v>
      </c>
      <c r="S30" s="409">
        <f t="shared" si="6"/>
        <v>0</v>
      </c>
      <c r="T30" s="396" t="str">
        <f t="shared" si="7"/>
        <v>n.a.</v>
      </c>
      <c r="U30" s="241"/>
      <c r="V30" s="241"/>
    </row>
    <row r="31" spans="2:25" ht="15.75" x14ac:dyDescent="0.3">
      <c r="B31" s="246"/>
      <c r="C31" s="245"/>
      <c r="E31" s="16" t="s">
        <v>364</v>
      </c>
      <c r="F31" s="12"/>
      <c r="G31" s="431">
        <f>VTPB!AL13</f>
        <v>0</v>
      </c>
      <c r="H31" s="361">
        <f>'Reference VO 2017'!E27</f>
        <v>0</v>
      </c>
      <c r="I31" s="90">
        <f t="shared" si="8"/>
        <v>0</v>
      </c>
      <c r="J31" s="363" t="str">
        <f t="shared" si="9"/>
        <v/>
      </c>
      <c r="K31" s="403" t="s">
        <v>147</v>
      </c>
      <c r="L31" s="405">
        <f>VTPB!AO13</f>
        <v>0</v>
      </c>
      <c r="M31" s="409">
        <f>'Reference VO 2017'!F27</f>
        <v>513.79740840035743</v>
      </c>
      <c r="N31" s="409">
        <f t="shared" si="2"/>
        <v>0</v>
      </c>
      <c r="O31" s="461">
        <f t="shared" si="10"/>
        <v>0</v>
      </c>
      <c r="P31" s="409">
        <f>Forecasts!F27/GCV/1000</f>
        <v>595.44575513851657</v>
      </c>
      <c r="Q31" s="409">
        <f t="shared" si="4"/>
        <v>0</v>
      </c>
      <c r="R31" s="409">
        <f t="shared" si="5"/>
        <v>0</v>
      </c>
      <c r="S31" s="409">
        <f t="shared" si="6"/>
        <v>0</v>
      </c>
      <c r="T31" s="396" t="str">
        <f t="shared" si="7"/>
        <v>n.a.</v>
      </c>
      <c r="U31" s="241"/>
      <c r="V31" s="241" t="s">
        <v>244</v>
      </c>
      <c r="W31" s="241"/>
    </row>
    <row r="32" spans="2:25" ht="16.5" thickBot="1" x14ac:dyDescent="0.35">
      <c r="B32" s="246"/>
      <c r="C32" s="510"/>
      <c r="E32" s="17" t="s">
        <v>365</v>
      </c>
      <c r="F32" s="18" t="s">
        <v>35</v>
      </c>
      <c r="G32" s="432">
        <f>VTPB!AL39</f>
        <v>0.42820626615681318</v>
      </c>
      <c r="H32" s="362">
        <f>'Reference VO 2017'!E28</f>
        <v>0.4</v>
      </c>
      <c r="I32" s="101">
        <f t="shared" si="8"/>
        <v>2.8206266156813153E-2</v>
      </c>
      <c r="J32" s="364">
        <f t="shared" si="9"/>
        <v>7.0515665392032911E-2</v>
      </c>
      <c r="K32" s="404">
        <f>'CWD Tariffs'!$Q$26</f>
        <v>0.41543113486441718</v>
      </c>
      <c r="L32" s="406">
        <f>VTPB!AO39</f>
        <v>0.33885912799328494</v>
      </c>
      <c r="M32" s="410">
        <f>'Reference VO 2017'!F28</f>
        <v>513.79740840035743</v>
      </c>
      <c r="N32" s="410">
        <f t="shared" si="2"/>
        <v>1948.2342984706963</v>
      </c>
      <c r="O32" s="462">
        <f t="shared" si="10"/>
        <v>8.9347138163528239E-2</v>
      </c>
      <c r="P32" s="410">
        <f>Forecasts!F28/GCV/1000</f>
        <v>595.44575513851657</v>
      </c>
      <c r="Q32" s="410">
        <f t="shared" si="4"/>
        <v>595.32337677483883</v>
      </c>
      <c r="R32" s="410">
        <f t="shared" si="5"/>
        <v>2543.5576752455354</v>
      </c>
      <c r="S32" s="410">
        <f t="shared" si="6"/>
        <v>2299.7572</v>
      </c>
      <c r="T32" s="397">
        <f>IFERROR(+R32/S32-1,"")</f>
        <v>0.10601139774474255</v>
      </c>
      <c r="U32" s="241"/>
      <c r="V32" s="378" t="s">
        <v>336</v>
      </c>
      <c r="W32" s="378" t="s">
        <v>152</v>
      </c>
      <c r="X32" s="378" t="s">
        <v>150</v>
      </c>
    </row>
    <row r="33" spans="2:25" ht="15.75" x14ac:dyDescent="0.3">
      <c r="B33" s="246"/>
      <c r="C33" s="245"/>
      <c r="E33" s="16" t="s">
        <v>279</v>
      </c>
      <c r="F33" s="1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20"/>
      <c r="S33" s="72"/>
      <c r="T33" s="25">
        <f>SUM(N9:N32)</f>
        <v>114109.76637885804</v>
      </c>
      <c r="U33" s="425" t="s">
        <v>57</v>
      </c>
      <c r="V33" s="426">
        <f>G9*M18*GCV</f>
        <v>5402.4201000000003</v>
      </c>
      <c r="W33" s="426">
        <f>H9*M18*GCV</f>
        <v>4911.2910000000002</v>
      </c>
      <c r="X33" s="426">
        <f>V33-W33</f>
        <v>491.12910000000011</v>
      </c>
    </row>
    <row r="34" spans="2:25" ht="15.75" x14ac:dyDescent="0.3">
      <c r="E34" s="16" t="s">
        <v>280</v>
      </c>
      <c r="F34" s="1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72"/>
      <c r="T34" s="25">
        <f>SUM(Q9:Q32)</f>
        <v>34002.230134631711</v>
      </c>
      <c r="U34" s="425" t="s">
        <v>69</v>
      </c>
      <c r="V34" s="426">
        <f>G18*M18*GCV</f>
        <v>7858.0656000000008</v>
      </c>
      <c r="W34" s="426">
        <f>H18*M18*GCV</f>
        <v>7143.6960000000008</v>
      </c>
      <c r="X34" s="426">
        <f>V34-W34</f>
        <v>714.36959999999999</v>
      </c>
    </row>
    <row r="35" spans="2:25" ht="16.5" thickBot="1" x14ac:dyDescent="0.35">
      <c r="B35" s="246"/>
      <c r="C35" s="275"/>
      <c r="E35" s="16" t="s">
        <v>135</v>
      </c>
      <c r="F35" s="12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20"/>
      <c r="S35" s="72"/>
      <c r="T35" s="118">
        <f>T33+T34</f>
        <v>148111.99651348975</v>
      </c>
      <c r="U35" s="425" t="s">
        <v>128</v>
      </c>
      <c r="V35" s="427">
        <f>V33+V34</f>
        <v>13260.485700000001</v>
      </c>
      <c r="W35" s="427">
        <f>W33+W34</f>
        <v>12054.987000000001</v>
      </c>
      <c r="X35" s="428">
        <f>V35/W35-1</f>
        <v>0.10000000000000009</v>
      </c>
      <c r="Y35" s="429"/>
    </row>
    <row r="36" spans="2:25" ht="15.75" x14ac:dyDescent="0.3">
      <c r="B36" s="246"/>
      <c r="C36" s="276"/>
      <c r="E36" s="8" t="s">
        <v>281</v>
      </c>
      <c r="F36" s="7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70"/>
      <c r="S36" s="70"/>
      <c r="T36" s="89">
        <f>T33-(costs_GCA-costs_GCA_var)/1000</f>
        <v>-12890.233621141961</v>
      </c>
    </row>
    <row r="37" spans="2:25" ht="16.5" thickBot="1" x14ac:dyDescent="0.35">
      <c r="B37" s="246"/>
      <c r="C37" s="246"/>
      <c r="E37" s="17" t="s">
        <v>282</v>
      </c>
      <c r="F37" s="18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22"/>
      <c r="S37" s="22"/>
      <c r="T37" s="27">
        <f>T34-costs_GCA_var/1000</f>
        <v>23002.230134631711</v>
      </c>
      <c r="V37" s="241" t="s">
        <v>245</v>
      </c>
      <c r="W37" s="241"/>
    </row>
    <row r="38" spans="2:25" ht="16.5" thickBot="1" x14ac:dyDescent="0.35">
      <c r="B38" s="246"/>
      <c r="C38" s="246"/>
      <c r="E38" s="17" t="s">
        <v>160</v>
      </c>
      <c r="F38" s="1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22"/>
      <c r="S38" s="22"/>
      <c r="T38" s="81">
        <f>Q4-T35</f>
        <v>-10111.99651348975</v>
      </c>
      <c r="V38" s="378" t="s">
        <v>336</v>
      </c>
      <c r="W38" s="378" t="s">
        <v>152</v>
      </c>
      <c r="X38" s="378" t="s">
        <v>150</v>
      </c>
    </row>
    <row r="39" spans="2:25" ht="16.5" thickBot="1" x14ac:dyDescent="0.35">
      <c r="B39" s="246"/>
      <c r="C39" s="246"/>
      <c r="E39" s="17" t="s">
        <v>136</v>
      </c>
      <c r="F39" s="1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  <c r="R39" s="22"/>
      <c r="S39" s="22"/>
      <c r="T39" s="80">
        <f>T35+T38-Q4</f>
        <v>0</v>
      </c>
      <c r="U39" s="425" t="s">
        <v>57</v>
      </c>
      <c r="V39" s="426">
        <f>G9*M17*GCV</f>
        <v>2864.9128569599998</v>
      </c>
      <c r="W39" s="426">
        <f>H9*M17*GCV</f>
        <v>2604.4662335999997</v>
      </c>
      <c r="X39" s="426">
        <f>V39-W39</f>
        <v>260.4466233600001</v>
      </c>
    </row>
    <row r="40" spans="2:25" ht="15.75" thickBot="1" x14ac:dyDescent="0.3">
      <c r="B40" s="246"/>
      <c r="C40" s="246"/>
      <c r="U40" s="425" t="s">
        <v>69</v>
      </c>
      <c r="V40" s="426">
        <f>G17*M17*GCV</f>
        <v>6426.5905152266478</v>
      </c>
      <c r="W40" s="426">
        <f>H17*M17*GCV</f>
        <v>11263.470854399999</v>
      </c>
      <c r="X40" s="426">
        <f>V40-W40</f>
        <v>-4836.8803391733509</v>
      </c>
    </row>
    <row r="41" spans="2:25" ht="19.5" thickBot="1" x14ac:dyDescent="0.35">
      <c r="B41" s="246"/>
      <c r="C41" s="246"/>
      <c r="E41" s="4" t="s">
        <v>36</v>
      </c>
      <c r="F41" s="5"/>
      <c r="G41" s="6"/>
      <c r="H41" s="6"/>
      <c r="I41" s="6"/>
      <c r="J41" s="6"/>
      <c r="K41" s="401"/>
      <c r="L41" s="97"/>
      <c r="M41" s="6"/>
      <c r="N41" s="1" t="s">
        <v>316</v>
      </c>
      <c r="O41" s="82"/>
      <c r="P41" s="82"/>
      <c r="Q41" s="75">
        <f>costs_TAG/1000</f>
        <v>293000</v>
      </c>
      <c r="R41" s="104"/>
      <c r="S41" s="104"/>
      <c r="T41" s="105"/>
      <c r="U41" s="425" t="s">
        <v>128</v>
      </c>
      <c r="V41" s="427">
        <f>V39+V40</f>
        <v>9291.5033721866475</v>
      </c>
      <c r="W41" s="427">
        <f>W39+W40</f>
        <v>13867.937087999999</v>
      </c>
      <c r="X41" s="428">
        <f>V41/W41-1</f>
        <v>-0.33000104390243912</v>
      </c>
      <c r="Y41" s="429"/>
    </row>
    <row r="42" spans="2:25" ht="15.75" thickBot="1" x14ac:dyDescent="0.3">
      <c r="B42" s="246"/>
      <c r="C42" s="246"/>
      <c r="E42" s="392"/>
      <c r="F42" s="390"/>
      <c r="G42" s="393"/>
      <c r="H42" s="391"/>
      <c r="I42" s="391"/>
      <c r="J42" s="390"/>
      <c r="K42" s="402"/>
      <c r="L42" s="394"/>
      <c r="M42" s="390"/>
      <c r="N42" s="390"/>
      <c r="O42" s="393"/>
      <c r="P42" s="393"/>
      <c r="Q42" s="390"/>
      <c r="R42" s="390"/>
      <c r="S42" s="390"/>
      <c r="T42" s="395"/>
    </row>
    <row r="43" spans="2:25" ht="15.75" x14ac:dyDescent="0.3">
      <c r="E43" s="8"/>
      <c r="F43" s="7"/>
      <c r="G43" s="9" t="s">
        <v>137</v>
      </c>
      <c r="H43" s="9" t="s">
        <v>1</v>
      </c>
      <c r="I43" s="9" t="s">
        <v>303</v>
      </c>
      <c r="J43" s="9" t="s">
        <v>305</v>
      </c>
      <c r="K43" s="10" t="s">
        <v>203</v>
      </c>
      <c r="L43" s="9"/>
      <c r="M43" s="9" t="s">
        <v>140</v>
      </c>
      <c r="N43" s="9" t="s">
        <v>143</v>
      </c>
      <c r="O43" s="9"/>
      <c r="P43" s="9" t="s">
        <v>272</v>
      </c>
      <c r="Q43" s="9" t="s">
        <v>143</v>
      </c>
      <c r="R43" s="9" t="s">
        <v>327</v>
      </c>
      <c r="S43" s="9" t="s">
        <v>325</v>
      </c>
      <c r="T43" s="10" t="s">
        <v>139</v>
      </c>
    </row>
    <row r="44" spans="2:25" ht="15.75" x14ac:dyDescent="0.3">
      <c r="E44" s="16" t="s">
        <v>68</v>
      </c>
      <c r="F44" s="12" t="s">
        <v>2</v>
      </c>
      <c r="G44" s="13" t="s">
        <v>315</v>
      </c>
      <c r="H44" s="13" t="s">
        <v>204</v>
      </c>
      <c r="I44" s="13" t="s">
        <v>304</v>
      </c>
      <c r="J44" s="13" t="s">
        <v>304</v>
      </c>
      <c r="K44" s="15" t="s">
        <v>204</v>
      </c>
      <c r="L44" s="13" t="s">
        <v>275</v>
      </c>
      <c r="M44" s="13" t="s">
        <v>141</v>
      </c>
      <c r="N44" s="13" t="s">
        <v>276</v>
      </c>
      <c r="O44" s="13" t="s">
        <v>277</v>
      </c>
      <c r="P44" s="13" t="s">
        <v>273</v>
      </c>
      <c r="Q44" s="13" t="s">
        <v>278</v>
      </c>
      <c r="R44" s="102" t="s">
        <v>326</v>
      </c>
      <c r="S44" s="102" t="s">
        <v>326</v>
      </c>
      <c r="T44" s="15" t="s">
        <v>138</v>
      </c>
    </row>
    <row r="45" spans="2:25" ht="15.75" x14ac:dyDescent="0.3">
      <c r="E45" s="16"/>
      <c r="F45" s="12"/>
      <c r="G45" s="92" t="s">
        <v>131</v>
      </c>
      <c r="H45" s="92" t="s">
        <v>131</v>
      </c>
      <c r="I45" s="92" t="s">
        <v>131</v>
      </c>
      <c r="J45" s="92"/>
      <c r="K45" s="94" t="s">
        <v>131</v>
      </c>
      <c r="L45" s="92" t="s">
        <v>131</v>
      </c>
      <c r="M45" s="92" t="s">
        <v>142</v>
      </c>
      <c r="N45" s="98" t="s">
        <v>129</v>
      </c>
      <c r="O45" s="92" t="s">
        <v>131</v>
      </c>
      <c r="P45" s="92" t="s">
        <v>142</v>
      </c>
      <c r="Q45" s="98" t="s">
        <v>129</v>
      </c>
      <c r="R45" s="103" t="s">
        <v>129</v>
      </c>
      <c r="S45" s="103" t="s">
        <v>129</v>
      </c>
      <c r="T45" s="94"/>
    </row>
    <row r="46" spans="2:25" ht="15.75" x14ac:dyDescent="0.3">
      <c r="E46" s="16" t="s">
        <v>3</v>
      </c>
      <c r="F46" s="12" t="s">
        <v>4</v>
      </c>
      <c r="G46" s="398">
        <f>VTPB!AL10</f>
        <v>0.84700000000000009</v>
      </c>
      <c r="H46" s="361">
        <f>'Reference VO 2017'!E29</f>
        <v>0.77</v>
      </c>
      <c r="I46" s="90">
        <f t="shared" ref="I46:I51" si="11">G46-H46</f>
        <v>7.7000000000000068E-2</v>
      </c>
      <c r="J46" s="363">
        <f t="shared" ref="J46:J51" si="12">IFERROR(+G46/H46-1,0)</f>
        <v>0.10000000000000009</v>
      </c>
      <c r="K46" s="403">
        <f>'CWD Tariffs'!$Q$9</f>
        <v>2.2862786984457464</v>
      </c>
      <c r="L46" s="407">
        <f>VTPB!AO10</f>
        <v>0.60498681572974122</v>
      </c>
      <c r="M46" s="409">
        <f>'Reference VO 2017'!F29</f>
        <v>5151.366</v>
      </c>
      <c r="N46" s="409">
        <f t="shared" ref="N46:N51" si="13">L46*M46*GCV</f>
        <v>34873.730260452699</v>
      </c>
      <c r="O46" s="461">
        <f t="shared" ref="O46:O51" si="14">G46-L46</f>
        <v>0.24201318427025886</v>
      </c>
      <c r="P46" s="409">
        <f>Forecasts!F29/GCV/1000</f>
        <v>4357.9256478999105</v>
      </c>
      <c r="Q46" s="409">
        <f t="shared" ref="Q46:Q51" si="15">P46*O46*GCV</f>
        <v>11801.818429417815</v>
      </c>
      <c r="R46" s="409">
        <f t="shared" ref="R46:R51" si="16">IFERROR(N46+Q46,0)</f>
        <v>46675.548689870513</v>
      </c>
      <c r="S46" s="409">
        <f t="shared" ref="S46:S51" si="17">+H46*M46*GCV</f>
        <v>44385.714865800001</v>
      </c>
      <c r="T46" s="396">
        <f>+R46/S46-1</f>
        <v>5.1589432117829181E-2</v>
      </c>
    </row>
    <row r="47" spans="2:25" ht="15.75" x14ac:dyDescent="0.3">
      <c r="E47" s="16" t="s">
        <v>37</v>
      </c>
      <c r="F47" s="12" t="s">
        <v>38</v>
      </c>
      <c r="G47" s="398">
        <f>VTPB!AL9</f>
        <v>1.1237380354023243</v>
      </c>
      <c r="H47" s="361">
        <f>'Reference VO 2017'!E30</f>
        <v>1.3</v>
      </c>
      <c r="I47" s="90">
        <f t="shared" si="11"/>
        <v>-0.17626196459767574</v>
      </c>
      <c r="J47" s="363">
        <f t="shared" si="12"/>
        <v>-0.1355861266135967</v>
      </c>
      <c r="K47" s="403">
        <f>'CWD Tariffs'!$Q$9</f>
        <v>2.2862786984457464</v>
      </c>
      <c r="L47" s="407">
        <f>VTPB!AO9</f>
        <v>0.88172485113206545</v>
      </c>
      <c r="M47" s="409">
        <f>'Reference VO 2017'!F30</f>
        <v>0</v>
      </c>
      <c r="N47" s="409">
        <f t="shared" si="13"/>
        <v>0</v>
      </c>
      <c r="O47" s="461">
        <f t="shared" si="14"/>
        <v>0.24201318427025886</v>
      </c>
      <c r="P47" s="409">
        <f>Forecasts!F30/GCV/1000</f>
        <v>0</v>
      </c>
      <c r="Q47" s="409">
        <f t="shared" si="15"/>
        <v>0</v>
      </c>
      <c r="R47" s="409">
        <f t="shared" si="16"/>
        <v>0</v>
      </c>
      <c r="S47" s="409">
        <f t="shared" si="17"/>
        <v>0</v>
      </c>
      <c r="T47" s="396" t="s">
        <v>147</v>
      </c>
    </row>
    <row r="48" spans="2:25" ht="15.75" x14ac:dyDescent="0.3">
      <c r="E48" s="16" t="s">
        <v>39</v>
      </c>
      <c r="F48" s="12" t="s">
        <v>40</v>
      </c>
      <c r="G48" s="398">
        <f>VTPB!AL32</f>
        <v>4.8879944380763094</v>
      </c>
      <c r="H48" s="361">
        <f>'Reference VO 2017'!E31</f>
        <v>4.63</v>
      </c>
      <c r="I48" s="90">
        <f t="shared" si="11"/>
        <v>0.25799443807630951</v>
      </c>
      <c r="J48" s="363">
        <f t="shared" si="12"/>
        <v>5.5722340837215834E-2</v>
      </c>
      <c r="K48" s="403">
        <f>'CWD Tariffs'!Q24</f>
        <v>3.2683981283207926</v>
      </c>
      <c r="L48" s="407">
        <f>VTPB!AO32</f>
        <v>3.8680927016513982</v>
      </c>
      <c r="M48" s="409">
        <f>'Reference VO 2017'!F31</f>
        <v>4339.4900000000007</v>
      </c>
      <c r="N48" s="409">
        <f t="shared" si="13"/>
        <v>187830.30000038046</v>
      </c>
      <c r="O48" s="461">
        <f t="shared" si="14"/>
        <v>1.0199017364249112</v>
      </c>
      <c r="P48" s="409">
        <f>Forecasts!F31/GCV/1000</f>
        <v>3893.8274352100093</v>
      </c>
      <c r="Q48" s="409">
        <f t="shared" si="15"/>
        <v>44439.086046482946</v>
      </c>
      <c r="R48" s="409">
        <f t="shared" si="16"/>
        <v>232269.38604686339</v>
      </c>
      <c r="S48" s="409">
        <f t="shared" si="17"/>
        <v>224827.67505300004</v>
      </c>
      <c r="T48" s="396">
        <f>+R48/S48-1</f>
        <v>3.3099621708533311E-2</v>
      </c>
    </row>
    <row r="49" spans="5:20" ht="15.75" x14ac:dyDescent="0.3">
      <c r="E49" s="16" t="s">
        <v>24</v>
      </c>
      <c r="F49" s="12" t="s">
        <v>25</v>
      </c>
      <c r="G49" s="398">
        <f>VTPB!AL57</f>
        <v>0.46889659827290503</v>
      </c>
      <c r="H49" s="361">
        <f>'Reference VO 2017'!E32</f>
        <v>0.53</v>
      </c>
      <c r="I49" s="90">
        <f t="shared" si="11"/>
        <v>-6.1103401727094997E-2</v>
      </c>
      <c r="J49" s="363">
        <f t="shared" si="12"/>
        <v>-0.11528943722093399</v>
      </c>
      <c r="K49" s="403">
        <f>'CWD Tariffs'!Q28</f>
        <v>0.65534378655105607</v>
      </c>
      <c r="L49" s="407">
        <f>VTPB!AO57</f>
        <v>0.37105924169635401</v>
      </c>
      <c r="M49" s="409">
        <f>'Reference VO 2017'!F32</f>
        <v>318.37998212689899</v>
      </c>
      <c r="N49" s="409">
        <f t="shared" si="13"/>
        <v>1321.9623707328328</v>
      </c>
      <c r="O49" s="461">
        <f t="shared" si="14"/>
        <v>9.7837356576551016E-2</v>
      </c>
      <c r="P49" s="409">
        <f>Forecasts!F32/GCV/1000</f>
        <v>264.25540661304734</v>
      </c>
      <c r="Q49" s="409">
        <f t="shared" si="15"/>
        <v>289.30682446927972</v>
      </c>
      <c r="R49" s="409">
        <f t="shared" si="16"/>
        <v>1611.2691952021125</v>
      </c>
      <c r="S49" s="409">
        <f t="shared" si="17"/>
        <v>1888.2161599999997</v>
      </c>
      <c r="T49" s="396">
        <f>+R49/S49-1</f>
        <v>-0.1466712184042992</v>
      </c>
    </row>
    <row r="50" spans="5:20" ht="15.75" x14ac:dyDescent="0.3">
      <c r="E50" s="16" t="s">
        <v>350</v>
      </c>
      <c r="F50" s="12" t="s">
        <v>41</v>
      </c>
      <c r="G50" s="398">
        <f>VTPB!AL58</f>
        <v>4.3319370289883787</v>
      </c>
      <c r="H50" s="361">
        <f>'Reference VO 2017'!E33</f>
        <v>4.2</v>
      </c>
      <c r="I50" s="90">
        <f t="shared" si="11"/>
        <v>0.13193702898837856</v>
      </c>
      <c r="J50" s="363">
        <f t="shared" si="12"/>
        <v>3.1413578330566239E-2</v>
      </c>
      <c r="K50" s="403">
        <f>'CWD Tariffs'!Q27</f>
        <v>2.9255929000719569</v>
      </c>
      <c r="L50" s="407">
        <f>VTPB!AO58</f>
        <v>3.4280591392075959</v>
      </c>
      <c r="M50" s="409">
        <f>'Reference VO 2017'!F33</f>
        <v>42.168990169794462</v>
      </c>
      <c r="N50" s="409">
        <f t="shared" si="13"/>
        <v>1617.6016940770273</v>
      </c>
      <c r="O50" s="461">
        <f t="shared" si="14"/>
        <v>0.90387788978078287</v>
      </c>
      <c r="P50" s="409">
        <f>Forecasts!F33/GCV/1000</f>
        <v>35.000268096514745</v>
      </c>
      <c r="Q50" s="409">
        <f t="shared" si="15"/>
        <v>354.00648716631292</v>
      </c>
      <c r="R50" s="409">
        <f t="shared" si="16"/>
        <v>1971.6081812433404</v>
      </c>
      <c r="S50" s="409">
        <f t="shared" si="17"/>
        <v>1981.8582000000001</v>
      </c>
      <c r="T50" s="396">
        <f>+R50/S50-1</f>
        <v>-5.1719233781002405E-3</v>
      </c>
    </row>
    <row r="51" spans="5:20" ht="16.5" thickBot="1" x14ac:dyDescent="0.35">
      <c r="E51" s="17" t="s">
        <v>351</v>
      </c>
      <c r="F51" s="18" t="s">
        <v>42</v>
      </c>
      <c r="G51" s="399">
        <f>VTPB!AM9</f>
        <v>0.68200000000000005</v>
      </c>
      <c r="H51" s="362">
        <f>'Reference VO 2017'!E34</f>
        <v>0.62</v>
      </c>
      <c r="I51" s="101">
        <f t="shared" si="11"/>
        <v>6.2000000000000055E-2</v>
      </c>
      <c r="J51" s="364">
        <f t="shared" si="12"/>
        <v>0.10000000000000009</v>
      </c>
      <c r="K51" s="404">
        <f>'CWD Tariffs'!Q10</f>
        <v>2.0576508286011714</v>
      </c>
      <c r="L51" s="408">
        <f>VTPB!AP9</f>
        <v>0.46418813415676707</v>
      </c>
      <c r="M51" s="410">
        <f>'Reference VO 2017'!F34</f>
        <v>47.48299999999999</v>
      </c>
      <c r="N51" s="410">
        <f t="shared" si="13"/>
        <v>246.63929549891492</v>
      </c>
      <c r="O51" s="462">
        <f t="shared" si="14"/>
        <v>0.21781186584323298</v>
      </c>
      <c r="P51" s="410">
        <f>Forecasts!F34/GCV/1000</f>
        <v>46.589008042895443</v>
      </c>
      <c r="Q51" s="410">
        <f t="shared" si="15"/>
        <v>113.5520778319185</v>
      </c>
      <c r="R51" s="410">
        <f t="shared" si="16"/>
        <v>360.19137333083341</v>
      </c>
      <c r="S51" s="410">
        <f t="shared" si="17"/>
        <v>329.4275573999999</v>
      </c>
      <c r="T51" s="397">
        <f>+R51/S51-1</f>
        <v>9.3385678398116623E-2</v>
      </c>
    </row>
    <row r="52" spans="5:20" ht="15.75" x14ac:dyDescent="0.3">
      <c r="E52" s="16" t="s">
        <v>279</v>
      </c>
      <c r="F52" s="1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76"/>
      <c r="T52" s="25">
        <f>SUM(N46:N51)</f>
        <v>225890.23362114193</v>
      </c>
    </row>
    <row r="53" spans="5:20" ht="15.75" x14ac:dyDescent="0.3">
      <c r="E53" s="16" t="s">
        <v>280</v>
      </c>
      <c r="F53" s="1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76"/>
      <c r="T53" s="25">
        <f>+SUM(Q46:Q51)</f>
        <v>56997.769865368267</v>
      </c>
    </row>
    <row r="54" spans="5:20" ht="16.5" thickBot="1" x14ac:dyDescent="0.35">
      <c r="E54" s="16" t="s">
        <v>135</v>
      </c>
      <c r="F54" s="12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76"/>
      <c r="T54" s="118">
        <f>T52+T53</f>
        <v>282888.00348651019</v>
      </c>
    </row>
    <row r="55" spans="5:20" ht="15.75" x14ac:dyDescent="0.3">
      <c r="E55" s="8" t="s">
        <v>281</v>
      </c>
      <c r="F55" s="7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70"/>
      <c r="S55" s="71"/>
      <c r="T55" s="89">
        <f>T52-(costs_TAG-costs_TAG_var)/1000</f>
        <v>12890.233621141932</v>
      </c>
    </row>
    <row r="56" spans="5:20" ht="16.5" thickBot="1" x14ac:dyDescent="0.35">
      <c r="E56" s="17" t="s">
        <v>282</v>
      </c>
      <c r="F56" s="18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  <c r="R56" s="22"/>
      <c r="S56" s="73"/>
      <c r="T56" s="27">
        <f>T53-costs_TAG_var/1000</f>
        <v>-23002.230134631733</v>
      </c>
    </row>
    <row r="57" spans="5:20" ht="16.5" thickBot="1" x14ac:dyDescent="0.35">
      <c r="E57" s="17" t="s">
        <v>160</v>
      </c>
      <c r="F57" s="2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81">
        <f>Q41-T54</f>
        <v>10111.996513489808</v>
      </c>
    </row>
    <row r="58" spans="5:20" ht="16.5" thickBot="1" x14ac:dyDescent="0.35">
      <c r="E58" s="17" t="s">
        <v>136</v>
      </c>
      <c r="F58" s="18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6"/>
      <c r="S58" s="26"/>
      <c r="T58" s="80">
        <f>-(T38+T57)</f>
        <v>-5.8207660913467407E-11</v>
      </c>
    </row>
  </sheetData>
  <conditionalFormatting sqref="C26:C28">
    <cfRule type="cellIs" dxfId="3" priority="1" operator="equal">
      <formula>FALSE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00486A"/>
  </sheetPr>
  <dimension ref="A1"/>
  <sheetViews>
    <sheetView workbookViewId="0">
      <selection activeCell="G21" sqref="G21"/>
    </sheetView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theme="3" tint="0.39997558519241921"/>
    <outlinePr summaryBelow="0" summaryRight="0"/>
  </sheetPr>
  <dimension ref="A1:AS74"/>
  <sheetViews>
    <sheetView zoomScale="85" zoomScaleNormal="85" workbookViewId="0">
      <selection activeCell="G21" sqref="G21"/>
    </sheetView>
  </sheetViews>
  <sheetFormatPr baseColWidth="10" defaultColWidth="11.42578125" defaultRowHeight="15" outlineLevelCol="1" x14ac:dyDescent="0.25"/>
  <cols>
    <col min="1" max="1" width="6.5703125" customWidth="1"/>
    <col min="2" max="2" width="42.5703125" bestFit="1" customWidth="1"/>
    <col min="3" max="3" width="16.5703125" customWidth="1"/>
    <col min="5" max="5" width="12.5703125" bestFit="1" customWidth="1"/>
    <col min="6" max="6" width="13.5703125" customWidth="1"/>
    <col min="8" max="8" width="15" style="38" bestFit="1" customWidth="1"/>
    <col min="9" max="9" width="11.85546875" style="38" customWidth="1"/>
    <col min="10" max="10" width="12.140625" customWidth="1"/>
    <col min="11" max="12" width="11.42578125" customWidth="1" outlineLevel="1"/>
    <col min="13" max="13" width="10.42578125" customWidth="1"/>
    <col min="14" max="14" width="18.5703125" customWidth="1" outlineLevel="1"/>
    <col min="15" max="15" width="8.5703125" customWidth="1" outlineLevel="1"/>
    <col min="16" max="16" width="9.85546875" customWidth="1" outlineLevel="1"/>
    <col min="17" max="17" width="18.140625" customWidth="1" outlineLevel="1"/>
    <col min="18" max="18" width="11.42578125" outlineLevel="1"/>
    <col min="19" max="19" width="15.5703125" bestFit="1" customWidth="1" outlineLevel="1"/>
    <col min="20" max="20" width="8.5703125" customWidth="1" outlineLevel="1"/>
    <col min="21" max="21" width="14" bestFit="1" customWidth="1" outlineLevel="1"/>
    <col min="22" max="22" width="17.85546875" customWidth="1" outlineLevel="1"/>
    <col min="23" max="23" width="17.42578125" bestFit="1" customWidth="1" outlineLevel="1"/>
    <col min="24" max="24" width="11.42578125" outlineLevel="1"/>
    <col min="25" max="25" width="10.85546875" style="262" outlineLevel="1"/>
    <col min="26" max="26" width="15.85546875" style="262" bestFit="1" customWidth="1" outlineLevel="1"/>
    <col min="27" max="27" width="11.42578125" outlineLevel="1"/>
    <col min="28" max="28" width="15.85546875" style="262" bestFit="1" customWidth="1" outlineLevel="1"/>
    <col min="29" max="29" width="17" style="262" customWidth="1" outlineLevel="1"/>
    <col min="30" max="30" width="15.85546875" style="262" bestFit="1" customWidth="1" outlineLevel="1"/>
    <col min="31" max="31" width="14" style="262" bestFit="1" customWidth="1" outlineLevel="1"/>
    <col min="32" max="32" width="13.42578125" style="262" customWidth="1" outlineLevel="1"/>
    <col min="33" max="33" width="14.5703125" style="262" customWidth="1" outlineLevel="1"/>
    <col min="34" max="34" width="15.85546875" style="262" bestFit="1" customWidth="1" outlineLevel="1"/>
    <col min="35" max="35" width="11.42578125" style="262" outlineLevel="1"/>
    <col min="36" max="36" width="15.42578125" style="262" customWidth="1" outlineLevel="1"/>
    <col min="37" max="37" width="17.5703125" style="262" customWidth="1" outlineLevel="1"/>
    <col min="38" max="38" width="22.5703125" style="262" customWidth="1" outlineLevel="1"/>
    <col min="39" max="39" width="16.42578125" style="262" customWidth="1" outlineLevel="1"/>
    <col min="40" max="40" width="3.140625" style="262" customWidth="1" outlineLevel="1"/>
    <col min="41" max="42" width="11.5703125" style="262" outlineLevel="1"/>
  </cols>
  <sheetData>
    <row r="1" spans="1:42" ht="18" x14ac:dyDescent="0.25">
      <c r="A1" s="28" t="s">
        <v>43</v>
      </c>
      <c r="B1" s="28"/>
      <c r="C1" s="28"/>
      <c r="D1" s="28"/>
      <c r="E1" s="28"/>
      <c r="F1" s="28"/>
      <c r="G1" s="28"/>
      <c r="H1" s="62"/>
      <c r="I1" s="62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x14ac:dyDescent="0.25">
      <c r="B2" s="29" t="s">
        <v>46</v>
      </c>
      <c r="C2" s="30">
        <f>costs_GCA+costs_TAG</f>
        <v>431000000</v>
      </c>
      <c r="D2" t="s">
        <v>47</v>
      </c>
      <c r="E2" s="52"/>
      <c r="F2" s="46"/>
      <c r="S2" s="262"/>
      <c r="T2" s="262"/>
    </row>
    <row r="3" spans="1:42" x14ac:dyDescent="0.25">
      <c r="B3" s="29" t="s">
        <v>274</v>
      </c>
      <c r="C3" s="30">
        <f>Costscalc!C4+Costscalc!C8+VTPB_NICT!U23</f>
        <v>440104941.01977986</v>
      </c>
      <c r="D3" t="s">
        <v>47</v>
      </c>
      <c r="E3" s="52"/>
      <c r="F3" s="46"/>
      <c r="M3" s="29" t="s">
        <v>322</v>
      </c>
      <c r="N3" s="30">
        <f>Costscalc!C4+Costscalc!C8+VTPB_NICT!U23-(costs_GCA_var+costs_TAG_var)</f>
        <v>349104941.01977986</v>
      </c>
      <c r="S3" s="262"/>
      <c r="T3" s="262"/>
    </row>
    <row r="4" spans="1:42" x14ac:dyDescent="0.25">
      <c r="E4" s="52"/>
      <c r="F4" s="46"/>
    </row>
    <row r="5" spans="1:42" x14ac:dyDescent="0.25">
      <c r="I5"/>
      <c r="K5" s="52"/>
      <c r="L5" s="52"/>
      <c r="M5" s="285"/>
      <c r="N5" s="286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42" x14ac:dyDescent="0.25">
      <c r="H6" s="63" t="s">
        <v>70</v>
      </c>
      <c r="I6" s="63" t="s">
        <v>71</v>
      </c>
    </row>
    <row r="7" spans="1:42" ht="15.75" thickBot="1" x14ac:dyDescent="0.3">
      <c r="A7" s="33" t="s">
        <v>116</v>
      </c>
      <c r="C7" s="34"/>
      <c r="D7" s="48" t="s">
        <v>88</v>
      </c>
      <c r="E7" s="48" t="s">
        <v>87</v>
      </c>
      <c r="F7" s="48"/>
      <c r="G7" s="48"/>
      <c r="H7" s="64" t="s">
        <v>87</v>
      </c>
      <c r="I7" s="64" t="s">
        <v>87</v>
      </c>
      <c r="J7" s="48"/>
      <c r="K7" s="48"/>
      <c r="L7" s="48"/>
      <c r="N7" s="433" t="s">
        <v>338</v>
      </c>
      <c r="O7" s="433"/>
      <c r="P7" s="433"/>
      <c r="Q7" s="433"/>
      <c r="R7" s="433"/>
      <c r="S7" s="433"/>
      <c r="T7" s="433"/>
      <c r="U7" s="433"/>
      <c r="V7" s="433"/>
      <c r="W7" s="433"/>
      <c r="X7" s="451" t="s">
        <v>339</v>
      </c>
      <c r="Y7" s="443"/>
      <c r="Z7" s="443"/>
      <c r="AA7" s="443"/>
      <c r="AB7" s="443"/>
      <c r="AC7" s="443"/>
      <c r="AD7" s="443"/>
      <c r="AE7" s="443"/>
      <c r="AF7" s="452" t="s">
        <v>340</v>
      </c>
      <c r="AG7" s="442"/>
      <c r="AH7" s="442"/>
      <c r="AI7" s="442"/>
      <c r="AJ7" s="442"/>
      <c r="AK7" s="442"/>
      <c r="AL7" s="442"/>
      <c r="AM7" s="442"/>
      <c r="AN7" s="52"/>
    </row>
    <row r="8" spans="1:42" ht="60" x14ac:dyDescent="0.25">
      <c r="A8" s="35" t="s">
        <v>48</v>
      </c>
      <c r="B8" s="35" t="s">
        <v>49</v>
      </c>
      <c r="C8" s="50" t="s">
        <v>50</v>
      </c>
      <c r="D8" s="50" t="s">
        <v>124</v>
      </c>
      <c r="E8" s="50" t="s">
        <v>324</v>
      </c>
      <c r="F8" s="50" t="s">
        <v>51</v>
      </c>
      <c r="G8" s="50" t="s">
        <v>52</v>
      </c>
      <c r="H8" s="411" t="s">
        <v>53</v>
      </c>
      <c r="I8" s="411" t="s">
        <v>54</v>
      </c>
      <c r="J8" s="50" t="s">
        <v>55</v>
      </c>
      <c r="K8" s="50" t="s">
        <v>328</v>
      </c>
      <c r="L8" s="50" t="s">
        <v>329</v>
      </c>
      <c r="M8" s="52"/>
      <c r="N8" s="45" t="s">
        <v>337</v>
      </c>
      <c r="O8" s="45" t="s">
        <v>231</v>
      </c>
      <c r="P8" s="45" t="s">
        <v>233</v>
      </c>
      <c r="Q8" s="45" t="s">
        <v>236</v>
      </c>
      <c r="R8" s="45" t="s">
        <v>120</v>
      </c>
      <c r="S8" s="45" t="s">
        <v>232</v>
      </c>
      <c r="T8" s="45" t="s">
        <v>234</v>
      </c>
      <c r="U8" s="45" t="s">
        <v>237</v>
      </c>
      <c r="V8" s="434" t="s">
        <v>341</v>
      </c>
      <c r="W8" s="435" t="s">
        <v>342</v>
      </c>
      <c r="X8" s="45" t="s">
        <v>239</v>
      </c>
      <c r="Y8" s="45" t="s">
        <v>285</v>
      </c>
      <c r="Z8" s="45" t="s">
        <v>287</v>
      </c>
      <c r="AA8" s="45" t="s">
        <v>240</v>
      </c>
      <c r="AB8" s="45" t="s">
        <v>285</v>
      </c>
      <c r="AC8" s="45" t="s">
        <v>288</v>
      </c>
      <c r="AD8" s="434" t="s">
        <v>347</v>
      </c>
      <c r="AE8" s="435" t="s">
        <v>348</v>
      </c>
      <c r="AF8" s="45" t="s">
        <v>239</v>
      </c>
      <c r="AG8" s="45" t="s">
        <v>285</v>
      </c>
      <c r="AH8" s="45" t="s">
        <v>343</v>
      </c>
      <c r="AI8" s="45" t="s">
        <v>240</v>
      </c>
      <c r="AJ8" s="45" t="s">
        <v>285</v>
      </c>
      <c r="AK8" s="45" t="s">
        <v>344</v>
      </c>
      <c r="AL8" s="434" t="s">
        <v>345</v>
      </c>
      <c r="AM8" s="435" t="s">
        <v>346</v>
      </c>
      <c r="AN8" s="447"/>
      <c r="AO8" s="45" t="s">
        <v>283</v>
      </c>
      <c r="AP8" s="45" t="s">
        <v>284</v>
      </c>
    </row>
    <row r="9" spans="1:42" x14ac:dyDescent="0.25">
      <c r="A9">
        <f>1</f>
        <v>1</v>
      </c>
      <c r="B9" t="s">
        <v>56</v>
      </c>
      <c r="C9" s="36" t="s">
        <v>85</v>
      </c>
      <c r="D9" s="263">
        <f>'Reference VO 2017'!L5</f>
        <v>381.59447</v>
      </c>
      <c r="E9" s="46">
        <f>'Reference VO 2017'!M5</f>
        <v>17377622</v>
      </c>
      <c r="F9" s="241">
        <f t="shared" ref="F9:F18" si="0">E9/SUM($E$9:$E$18)</f>
        <v>0.1170644761682887</v>
      </c>
      <c r="G9" s="241">
        <f t="shared" ref="G9:G18" si="1">D9*F9</f>
        <v>44.671156739265761</v>
      </c>
      <c r="H9" s="46">
        <f>SUMIFS('Reference VO 2017'!$H$5:$H$34,'Reference VO 2017'!$B$5:$B$34,"Entry",'Reference VO 2017'!$D$5:$D$34,$B9,'Reference VO 2017'!$C$5:$C$34,H$6)</f>
        <v>0</v>
      </c>
      <c r="I9" s="46">
        <f>SUMIFS('Reference VO 2017'!$H$5:$H$34,'Reference VO 2017'!$B$5:$B$34,"Entry",'Reference VO 2017'!$D$5:$D$34,$B9,'Reference VO 2017'!$C$5:$C$34,I$6)</f>
        <v>531334.7699999999</v>
      </c>
      <c r="J9" s="51">
        <f>SUMIF($B$22,C9,$E$22)</f>
        <v>1</v>
      </c>
      <c r="K9" s="263">
        <f>'Reference VO 2017'!N5</f>
        <v>1.3</v>
      </c>
      <c r="L9" s="263">
        <f>'Reference VO 2017'!O5</f>
        <v>0.62</v>
      </c>
      <c r="M9" s="52"/>
      <c r="N9" s="51">
        <v>1</v>
      </c>
      <c r="O9" s="241">
        <f>N9*$J9*$C$27+VTPB_NICT!Q9</f>
        <v>1.0179521451204749</v>
      </c>
      <c r="P9" s="242">
        <f t="shared" ref="P9:P17" si="2">IF(K9=0,0,IF(O9&gt;(1+max_increase)*$K9,1,0))</f>
        <v>0</v>
      </c>
      <c r="Q9" s="241">
        <f>(1-P9)*O9+P9*(1+max_increase)*K9</f>
        <v>1.0179521451204749</v>
      </c>
      <c r="R9" s="51">
        <f>1-discount_DZK</f>
        <v>0.9</v>
      </c>
      <c r="S9" s="263">
        <f>O9*R9</f>
        <v>0.91615693060842751</v>
      </c>
      <c r="T9" s="242">
        <f>IF(L9=0,0,IF(S9&gt;(1+max_increase)*$L9,1,0))</f>
        <v>1</v>
      </c>
      <c r="U9" s="241">
        <f>(1-T9)*S9+T9*(1+max_increase)*L9</f>
        <v>0.68200000000000005</v>
      </c>
      <c r="V9" s="436">
        <f t="shared" ref="V9:V18" si="3">((1-P9)*$S$63+P9)*Q9</f>
        <v>1.1237380354023243</v>
      </c>
      <c r="W9" s="437">
        <f>((1-T9)*$S$63+T9)*U9</f>
        <v>0.68200000000000005</v>
      </c>
      <c r="X9" s="242">
        <f t="shared" ref="X9:X18" si="4">IF(K9=0,0,IF(V9&gt;(1+max_increase)*$K9,1,0))</f>
        <v>0</v>
      </c>
      <c r="Y9" s="242">
        <f>IF(X9+P9&gt;0,1,0)</f>
        <v>0</v>
      </c>
      <c r="Z9" s="282">
        <f t="shared" ref="Z9:Z18" si="5">IF(X9=1,K9*(1+max_increase),V9)</f>
        <v>1.1237380354023243</v>
      </c>
      <c r="AA9" s="242">
        <f t="shared" ref="AA9:AA18" si="6">IF(L9=0,0,IF(W9&gt;(1+max_increase)*$L9,1,0))</f>
        <v>0</v>
      </c>
      <c r="AB9" s="242">
        <f>IF(AA9+T9&gt;0,1,0)</f>
        <v>1</v>
      </c>
      <c r="AC9" s="281">
        <f>IF(AA9=1,L9*(1+max_increase),W9)</f>
        <v>0.68200000000000005</v>
      </c>
      <c r="AD9" s="444">
        <f t="shared" ref="AD9:AD18" si="7">IF(Y9=0,Z9*$AB$63,K9*(1+max_increase))</f>
        <v>1.1237380354023243</v>
      </c>
      <c r="AE9" s="445">
        <f>IF(AB9=0,W9*$AB$63,L9*(1+max_increase))</f>
        <v>0.68200000000000005</v>
      </c>
      <c r="AF9" s="242">
        <f>IF(S9=0,0,IF(AD9&gt;(1+max_increase)*$K9,1,0))</f>
        <v>0</v>
      </c>
      <c r="AG9" s="242">
        <f>IF(Y9+AF9&gt;0,1,0)</f>
        <v>0</v>
      </c>
      <c r="AH9" s="281">
        <f t="shared" ref="AH9:AH18" si="8">IF(AF9=1,K9*(1+max_increase),AD9)</f>
        <v>1.1237380354023243</v>
      </c>
      <c r="AI9" s="242">
        <f t="shared" ref="AI9:AI18" si="9">IF(T9=0,0,IF(AE9&gt;(1+max_increase)*$L9,1,0))</f>
        <v>0</v>
      </c>
      <c r="AJ9" s="242">
        <f>IF(AB9+AI9&gt;0,1,0)</f>
        <v>1</v>
      </c>
      <c r="AK9" s="281">
        <f>IF(AI9=1,T9*(1+max_increase),AE9)</f>
        <v>0.68200000000000005</v>
      </c>
      <c r="AL9" s="444">
        <f t="shared" ref="AL9:AL18" si="10">IF(AG9=0,AH9*$AJ$63,K9*(1+max_increase))</f>
        <v>1.1237380354023243</v>
      </c>
      <c r="AM9" s="445">
        <f>IF(AJ9=0,AE9*$AJ$63,L9*(1+max_increase))</f>
        <v>0.68200000000000005</v>
      </c>
      <c r="AN9" s="448"/>
      <c r="AO9" s="278">
        <f>IFERROR(MAX(AL9-VTPB_NICT!Q9,0),0)</f>
        <v>0.88172485113206545</v>
      </c>
      <c r="AP9" s="278">
        <f>IFERROR(MAX(AM9-VTPB_NICT!R9,0),0)</f>
        <v>0.46418813415676707</v>
      </c>
    </row>
    <row r="10" spans="1:42" x14ac:dyDescent="0.25">
      <c r="A10">
        <f>A9+1</f>
        <v>2</v>
      </c>
      <c r="B10" t="s">
        <v>58</v>
      </c>
      <c r="C10" s="36" t="s">
        <v>85</v>
      </c>
      <c r="D10" s="263">
        <f>'Reference VO 2017'!L6</f>
        <v>0</v>
      </c>
      <c r="E10" s="46">
        <f>'Reference VO 2017'!M6</f>
        <v>96080396</v>
      </c>
      <c r="F10" s="241">
        <f t="shared" si="0"/>
        <v>0.6472462819010415</v>
      </c>
      <c r="G10" s="241">
        <f t="shared" si="1"/>
        <v>0</v>
      </c>
      <c r="H10" s="46">
        <f>SUMIFS('Reference VO 2017'!$H$5:$H$34,'Reference VO 2017'!$B$5:$B$34,"Entry",'Reference VO 2017'!$D$5:$D$34,$B10,'Reference VO 2017'!$C$5:$C$34,H$6)</f>
        <v>81872004.269999996</v>
      </c>
      <c r="I10" s="46">
        <f>SUMIFS('Reference VO 2017'!$H$5:$H$34,'Reference VO 2017'!$B$5:$B$34,"Entry",'Reference VO 2017'!$D$5:$D$34,$B10,'Reference VO 2017'!$C$5:$C$34,I$6)</f>
        <v>0</v>
      </c>
      <c r="J10" s="51">
        <f t="shared" ref="J10:J18" si="11">SUMIF($B$22,C10,$E$22)</f>
        <v>1</v>
      </c>
      <c r="K10" s="263">
        <f>'Reference VO 2017'!N6</f>
        <v>0.77</v>
      </c>
      <c r="L10" s="263">
        <f>'Reference VO 2017'!O6</f>
        <v>0</v>
      </c>
      <c r="M10" s="52"/>
      <c r="N10" s="51">
        <v>1</v>
      </c>
      <c r="O10" s="241">
        <f>N10*$J10*$C$27+VTPB_NICT!Q10</f>
        <v>1.0179521451204749</v>
      </c>
      <c r="P10" s="242">
        <f t="shared" si="2"/>
        <v>1</v>
      </c>
      <c r="Q10" s="241">
        <f t="shared" ref="Q10:Q18" si="12">(1-P10)*O10+P10*(1+max_increase)*K10</f>
        <v>0.84700000000000009</v>
      </c>
      <c r="R10" s="51">
        <f>1-discount_DZK</f>
        <v>0.9</v>
      </c>
      <c r="S10" s="263">
        <f t="shared" ref="S10:S18" si="13">O10*R10</f>
        <v>0.91615693060842751</v>
      </c>
      <c r="T10" s="242">
        <f>P10</f>
        <v>1</v>
      </c>
      <c r="U10" s="241">
        <f>Q10*(1-discount_DZK)</f>
        <v>0.76230000000000009</v>
      </c>
      <c r="V10" s="436">
        <f t="shared" si="3"/>
        <v>0.84700000000000009</v>
      </c>
      <c r="W10" s="437">
        <f t="shared" ref="W10:W18" si="14">V10*R10</f>
        <v>0.76230000000000009</v>
      </c>
      <c r="X10" s="242">
        <f t="shared" si="4"/>
        <v>0</v>
      </c>
      <c r="Y10" s="242">
        <f>IF(X10+P10&gt;0,1,0)</f>
        <v>1</v>
      </c>
      <c r="Z10" s="281">
        <f t="shared" si="5"/>
        <v>0.84700000000000009</v>
      </c>
      <c r="AA10" s="242">
        <f t="shared" si="6"/>
        <v>0</v>
      </c>
      <c r="AB10" s="242">
        <f>Y10</f>
        <v>1</v>
      </c>
      <c r="AC10" s="281">
        <f t="shared" ref="AC10:AC18" si="15">Z10*R10</f>
        <v>0.76230000000000009</v>
      </c>
      <c r="AD10" s="444">
        <f t="shared" si="7"/>
        <v>0.84700000000000009</v>
      </c>
      <c r="AE10" s="446">
        <f>AD10*R10</f>
        <v>0.76230000000000009</v>
      </c>
      <c r="AF10" s="242">
        <f t="shared" ref="AF10:AF17" si="16">IF(S10=0,0,IF(AD10&gt;(1+max_increase)*$K10,1,0))</f>
        <v>0</v>
      </c>
      <c r="AG10" s="242">
        <f t="shared" ref="AG10:AG18" si="17">IF(Y10+AF10&gt;0,1,0)</f>
        <v>1</v>
      </c>
      <c r="AH10" s="281">
        <f t="shared" si="8"/>
        <v>0.84700000000000009</v>
      </c>
      <c r="AI10" s="242">
        <f t="shared" si="9"/>
        <v>1</v>
      </c>
      <c r="AJ10" s="242">
        <f>AG10</f>
        <v>1</v>
      </c>
      <c r="AK10" s="281">
        <f>AH10*R10</f>
        <v>0.76230000000000009</v>
      </c>
      <c r="AL10" s="444">
        <f t="shared" si="10"/>
        <v>0.84700000000000009</v>
      </c>
      <c r="AM10" s="446">
        <f>AL10*R10</f>
        <v>0.76230000000000009</v>
      </c>
      <c r="AN10" s="449"/>
      <c r="AO10" s="278">
        <f>IFERROR(MAX(AL10-VTPB_NICT!Q10,0),0)</f>
        <v>0.60498681572974122</v>
      </c>
      <c r="AP10" s="278">
        <f>IFERROR(MAX(AM10-VTPB_NICT!R10,0),0)</f>
        <v>0.54448813415676711</v>
      </c>
    </row>
    <row r="11" spans="1:42" x14ac:dyDescent="0.25">
      <c r="A11">
        <f>A10+1</f>
        <v>3</v>
      </c>
      <c r="B11" t="s">
        <v>59</v>
      </c>
      <c r="C11" s="36" t="s">
        <v>85</v>
      </c>
      <c r="D11" s="263">
        <f>'Reference VO 2017'!L7</f>
        <v>242</v>
      </c>
      <c r="E11" s="46">
        <f>'Reference VO 2017'!M7</f>
        <v>10349306</v>
      </c>
      <c r="F11" s="241">
        <f t="shared" si="0"/>
        <v>6.9718174649864476E-2</v>
      </c>
      <c r="G11" s="241">
        <f t="shared" si="1"/>
        <v>16.871798265267202</v>
      </c>
      <c r="H11" s="46">
        <f>SUMIFS('Reference VO 2017'!$H$5:$H$34,'Reference VO 2017'!$B$5:$B$34,"Entry",'Reference VO 2017'!$D$5:$D$34,$B11,'Reference VO 2017'!$C$5:$C$34,H$6)</f>
        <v>9651005.7300000004</v>
      </c>
      <c r="I11" s="46">
        <f>SUMIFS('Reference VO 2017'!$H$5:$H$34,'Reference VO 2017'!$B$5:$B$34,"Entry",'Reference VO 2017'!$D$5:$D$34,$B11,'Reference VO 2017'!$C$5:$C$34,I$6)</f>
        <v>0</v>
      </c>
      <c r="J11" s="51">
        <f t="shared" si="11"/>
        <v>1</v>
      </c>
      <c r="K11" s="263">
        <f>'Reference VO 2017'!N7</f>
        <v>1.3</v>
      </c>
      <c r="L11" s="263">
        <f>'Reference VO 2017'!O7</f>
        <v>0</v>
      </c>
      <c r="M11" s="52"/>
      <c r="N11" s="51">
        <v>1</v>
      </c>
      <c r="O11" s="241">
        <f>N11*$J11*$C$27+VTPB_NICT!Q11</f>
        <v>1.0179521451204749</v>
      </c>
      <c r="P11" s="242">
        <f t="shared" si="2"/>
        <v>0</v>
      </c>
      <c r="Q11" s="241">
        <f t="shared" si="12"/>
        <v>1.0179521451204749</v>
      </c>
      <c r="R11" s="51">
        <f>1-discount_DZK</f>
        <v>0.9</v>
      </c>
      <c r="S11" s="263">
        <f t="shared" si="13"/>
        <v>0.91615693060842751</v>
      </c>
      <c r="T11" s="242">
        <f t="shared" ref="T11:T18" si="18">P11</f>
        <v>0</v>
      </c>
      <c r="U11" s="241">
        <f>Q11*(1-discount_DZK)</f>
        <v>0.91615693060842751</v>
      </c>
      <c r="V11" s="436">
        <f>((1-P11)*$S$63+P11)*Q11</f>
        <v>1.1237380354023243</v>
      </c>
      <c r="W11" s="437">
        <f t="shared" si="14"/>
        <v>1.0113642318620919</v>
      </c>
      <c r="X11" s="242">
        <f t="shared" si="4"/>
        <v>0</v>
      </c>
      <c r="Y11" s="242">
        <f t="shared" ref="Y11:Y18" si="19">IF(X11+P11&gt;0,1,0)</f>
        <v>0</v>
      </c>
      <c r="Z11" s="281">
        <f t="shared" si="5"/>
        <v>1.1237380354023243</v>
      </c>
      <c r="AA11" s="242">
        <f t="shared" si="6"/>
        <v>0</v>
      </c>
      <c r="AB11" s="242">
        <f t="shared" ref="AB11:AB18" si="20">Y11</f>
        <v>0</v>
      </c>
      <c r="AC11" s="281">
        <f t="shared" si="15"/>
        <v>1.0113642318620919</v>
      </c>
      <c r="AD11" s="444">
        <f>IF(Y11=0,Z11*$AB$63,K11*(1+max_increase))</f>
        <v>1.1237380354023243</v>
      </c>
      <c r="AE11" s="446">
        <f t="shared" ref="AE11:AE18" si="21">AD11*R11</f>
        <v>1.0113642318620919</v>
      </c>
      <c r="AF11" s="242">
        <f t="shared" si="16"/>
        <v>0</v>
      </c>
      <c r="AG11" s="242">
        <f t="shared" si="17"/>
        <v>0</v>
      </c>
      <c r="AH11" s="281">
        <f t="shared" si="8"/>
        <v>1.1237380354023243</v>
      </c>
      <c r="AI11" s="242">
        <f t="shared" si="9"/>
        <v>0</v>
      </c>
      <c r="AJ11" s="242">
        <f t="shared" ref="AJ11:AJ18" si="22">AG11</f>
        <v>0</v>
      </c>
      <c r="AK11" s="281">
        <f t="shared" ref="AK11:AK18" si="23">AH11*R11</f>
        <v>1.0113642318620919</v>
      </c>
      <c r="AL11" s="444">
        <f t="shared" si="10"/>
        <v>1.1237380354023243</v>
      </c>
      <c r="AM11" s="446">
        <f t="shared" ref="AM11:AM18" si="24">AL11*R11</f>
        <v>1.0113642318620919</v>
      </c>
      <c r="AN11" s="449"/>
      <c r="AO11" s="278">
        <f>IFERROR(MAX(AL11-VTPB_NICT!Q11,0),0)</f>
        <v>0.88172485113206545</v>
      </c>
      <c r="AP11" s="278">
        <f>IFERROR(MAX(AM11-VTPB_NICT!R11,0),0)</f>
        <v>0.79355236601885892</v>
      </c>
    </row>
    <row r="12" spans="1:42" x14ac:dyDescent="0.25">
      <c r="A12">
        <f>A11+1</f>
        <v>4</v>
      </c>
      <c r="B12" t="s">
        <v>60</v>
      </c>
      <c r="C12" s="36" t="s">
        <v>85</v>
      </c>
      <c r="D12" s="263">
        <f>'Reference VO 2017'!L8</f>
        <v>337</v>
      </c>
      <c r="E12" s="46">
        <f>'Reference VO 2017'!M8</f>
        <v>4750155</v>
      </c>
      <c r="F12" s="241">
        <f t="shared" si="0"/>
        <v>3.1999453480641794E-2</v>
      </c>
      <c r="G12" s="241">
        <f t="shared" si="1"/>
        <v>10.783815822976285</v>
      </c>
      <c r="H12" s="46">
        <f>SUMIFS('Reference VO 2017'!$H$5:$H$34,'Reference VO 2017'!$B$5:$B$34,"Entry",'Reference VO 2017'!$D$5:$D$34,$B12,'Reference VO 2017'!$C$5:$C$34,H$6)</f>
        <v>1393155</v>
      </c>
      <c r="I12" s="46">
        <f>SUMIFS('Reference VO 2017'!$H$5:$H$34,'Reference VO 2017'!$B$5:$B$34,"Entry",'Reference VO 2017'!$D$5:$D$34,$B12,'Reference VO 2017'!$C$5:$C$34,I$6)</f>
        <v>3357000</v>
      </c>
      <c r="J12" s="51">
        <f t="shared" si="11"/>
        <v>1</v>
      </c>
      <c r="K12" s="263">
        <f>'Reference VO 2017'!N8</f>
        <v>1.3</v>
      </c>
      <c r="L12" s="263">
        <f>'Reference VO 2017'!O8</f>
        <v>1.17</v>
      </c>
      <c r="M12" s="52"/>
      <c r="N12" s="51">
        <v>1</v>
      </c>
      <c r="O12" s="241">
        <f>N12*$J12*$C$27+VTPB_NICT!Q12</f>
        <v>1.0179521451204749</v>
      </c>
      <c r="P12" s="242">
        <f t="shared" si="2"/>
        <v>0</v>
      </c>
      <c r="Q12" s="241">
        <f t="shared" si="12"/>
        <v>1.0179521451204749</v>
      </c>
      <c r="R12" s="51">
        <f>1-discount_DZK</f>
        <v>0.9</v>
      </c>
      <c r="S12" s="263">
        <f t="shared" si="13"/>
        <v>0.91615693060842751</v>
      </c>
      <c r="T12" s="242">
        <f t="shared" si="18"/>
        <v>0</v>
      </c>
      <c r="U12" s="241">
        <f t="shared" ref="U12:U18" si="25">Q12*(1-discount_DZK)</f>
        <v>0.91615693060842751</v>
      </c>
      <c r="V12" s="436">
        <f t="shared" si="3"/>
        <v>1.1237380354023243</v>
      </c>
      <c r="W12" s="437">
        <f t="shared" si="14"/>
        <v>1.0113642318620919</v>
      </c>
      <c r="X12" s="242">
        <f t="shared" si="4"/>
        <v>0</v>
      </c>
      <c r="Y12" s="242">
        <f t="shared" si="19"/>
        <v>0</v>
      </c>
      <c r="Z12" s="281">
        <f t="shared" si="5"/>
        <v>1.1237380354023243</v>
      </c>
      <c r="AA12" s="242">
        <f t="shared" si="6"/>
        <v>0</v>
      </c>
      <c r="AB12" s="242">
        <f t="shared" si="20"/>
        <v>0</v>
      </c>
      <c r="AC12" s="281">
        <f t="shared" si="15"/>
        <v>1.0113642318620919</v>
      </c>
      <c r="AD12" s="444">
        <f t="shared" si="7"/>
        <v>1.1237380354023243</v>
      </c>
      <c r="AE12" s="446">
        <f t="shared" si="21"/>
        <v>1.0113642318620919</v>
      </c>
      <c r="AF12" s="242">
        <f t="shared" si="16"/>
        <v>0</v>
      </c>
      <c r="AG12" s="242">
        <f t="shared" si="17"/>
        <v>0</v>
      </c>
      <c r="AH12" s="281">
        <f t="shared" si="8"/>
        <v>1.1237380354023243</v>
      </c>
      <c r="AI12" s="242">
        <f t="shared" si="9"/>
        <v>0</v>
      </c>
      <c r="AJ12" s="242">
        <f t="shared" si="22"/>
        <v>0</v>
      </c>
      <c r="AK12" s="281">
        <f t="shared" si="23"/>
        <v>1.0113642318620919</v>
      </c>
      <c r="AL12" s="444">
        <f t="shared" si="10"/>
        <v>1.1237380354023243</v>
      </c>
      <c r="AM12" s="446">
        <f t="shared" si="24"/>
        <v>1.0113642318620919</v>
      </c>
      <c r="AN12" s="449"/>
      <c r="AO12" s="278">
        <f>IFERROR(MAX(AL12-VTPB_NICT!Q12,0),0)</f>
        <v>0.88172485113206545</v>
      </c>
      <c r="AP12" s="278">
        <f>IFERROR(MAX(AM12-VTPB_NICT!R12,0),0)</f>
        <v>0.79355236601885892</v>
      </c>
    </row>
    <row r="13" spans="1:42" x14ac:dyDescent="0.25">
      <c r="A13">
        <v>5</v>
      </c>
      <c r="B13" t="s">
        <v>61</v>
      </c>
      <c r="C13" s="36" t="s">
        <v>85</v>
      </c>
      <c r="D13" s="263">
        <f>'Reference VO 2017'!L9</f>
        <v>2</v>
      </c>
      <c r="E13" s="46">
        <f>'Reference VO 2017'!M9</f>
        <v>7273500</v>
      </c>
      <c r="F13" s="241">
        <f t="shared" si="0"/>
        <v>4.8997985306047508E-2</v>
      </c>
      <c r="G13" s="241">
        <f t="shared" si="1"/>
        <v>9.7995970612095015E-2</v>
      </c>
      <c r="H13" s="46">
        <f>SUMIFS('Reference VO 2017'!$H$5:$H$34,'Reference VO 2017'!$B$5:$B$34,"Entry",'Reference VO 2017'!$D$5:$D$34,$B13,'Reference VO 2017'!$C$5:$C$34,H$6)</f>
        <v>5749393</v>
      </c>
      <c r="I13" s="46">
        <f>SUMIFS('Reference VO 2017'!$H$5:$H$34,'Reference VO 2017'!$B$5:$B$34,"Entry",'Reference VO 2017'!$D$5:$D$34,$B13,'Reference VO 2017'!$C$5:$C$34,I$6)</f>
        <v>0</v>
      </c>
      <c r="J13" s="51">
        <f t="shared" si="11"/>
        <v>1</v>
      </c>
      <c r="K13" s="263">
        <f>'Reference VO 2017'!N9</f>
        <v>0</v>
      </c>
      <c r="L13" s="263">
        <f>'Reference VO 2017'!O9</f>
        <v>0</v>
      </c>
      <c r="M13" s="52"/>
      <c r="N13" s="51">
        <f>(1-discount_storage_entry)</f>
        <v>0</v>
      </c>
      <c r="O13" s="241">
        <f>N13*$J13*$C$27+VTPB_NICT!Q13</f>
        <v>0</v>
      </c>
      <c r="P13" s="242">
        <f t="shared" si="2"/>
        <v>0</v>
      </c>
      <c r="Q13" s="241">
        <f t="shared" si="12"/>
        <v>0</v>
      </c>
      <c r="R13" s="51">
        <f>(1-discount_storage_entry)</f>
        <v>0</v>
      </c>
      <c r="S13" s="263">
        <f t="shared" si="13"/>
        <v>0</v>
      </c>
      <c r="T13" s="242">
        <f t="shared" si="18"/>
        <v>0</v>
      </c>
      <c r="U13" s="241">
        <f t="shared" si="25"/>
        <v>0</v>
      </c>
      <c r="V13" s="436">
        <f t="shared" si="3"/>
        <v>0</v>
      </c>
      <c r="W13" s="437">
        <f t="shared" si="14"/>
        <v>0</v>
      </c>
      <c r="X13" s="242">
        <f t="shared" si="4"/>
        <v>0</v>
      </c>
      <c r="Y13" s="242">
        <f t="shared" si="19"/>
        <v>0</v>
      </c>
      <c r="Z13" s="281">
        <f t="shared" si="5"/>
        <v>0</v>
      </c>
      <c r="AA13" s="242">
        <f t="shared" si="6"/>
        <v>0</v>
      </c>
      <c r="AB13" s="242">
        <f t="shared" si="20"/>
        <v>0</v>
      </c>
      <c r="AC13" s="281">
        <f t="shared" si="15"/>
        <v>0</v>
      </c>
      <c r="AD13" s="444">
        <f t="shared" si="7"/>
        <v>0</v>
      </c>
      <c r="AE13" s="446">
        <f t="shared" si="21"/>
        <v>0</v>
      </c>
      <c r="AF13" s="242">
        <f>IF(S13=0,0,IF(AD13&gt;(1+max_increase)*$K13,1,0))</f>
        <v>0</v>
      </c>
      <c r="AG13" s="242">
        <f t="shared" si="17"/>
        <v>0</v>
      </c>
      <c r="AH13" s="281">
        <f t="shared" si="8"/>
        <v>0</v>
      </c>
      <c r="AI13" s="242">
        <f t="shared" si="9"/>
        <v>0</v>
      </c>
      <c r="AJ13" s="242">
        <f t="shared" si="22"/>
        <v>0</v>
      </c>
      <c r="AK13" s="281">
        <f t="shared" si="23"/>
        <v>0</v>
      </c>
      <c r="AL13" s="444">
        <f t="shared" si="10"/>
        <v>0</v>
      </c>
      <c r="AM13" s="446">
        <f t="shared" si="24"/>
        <v>0</v>
      </c>
      <c r="AN13" s="449"/>
      <c r="AO13" s="278">
        <f>IFERROR(MAX(AL13-VTPB_NICT!Q13,0),0)</f>
        <v>0</v>
      </c>
      <c r="AP13" s="278">
        <f>IFERROR(MAX(AM13-VTPB_NICT!R13,0),0)</f>
        <v>0</v>
      </c>
    </row>
    <row r="14" spans="1:42" x14ac:dyDescent="0.25">
      <c r="A14">
        <v>6</v>
      </c>
      <c r="B14" t="s">
        <v>125</v>
      </c>
      <c r="C14" s="36" t="s">
        <v>85</v>
      </c>
      <c r="D14" s="263">
        <f>'Reference VO 2017'!L10</f>
        <v>334</v>
      </c>
      <c r="E14" s="46">
        <f>'Reference VO 2017'!M10</f>
        <v>1765899.9999999998</v>
      </c>
      <c r="F14" s="241">
        <f t="shared" si="0"/>
        <v>1.1895998109843856E-2</v>
      </c>
      <c r="G14" s="241">
        <f t="shared" si="1"/>
        <v>3.973263368687848</v>
      </c>
      <c r="H14" s="46">
        <f>SUMIFS('Reference VO 2017'!$H$5:$H$34,'Reference VO 2017'!$B$5:$B$34,"Entry",'Reference VO 2017'!$D$5:$D$34,$B14,'Reference VO 2017'!$C$5:$C$34,H$6)</f>
        <v>2950825</v>
      </c>
      <c r="I14" s="46">
        <f>SUMIFS('Reference VO 2017'!$H$5:$H$34,'Reference VO 2017'!$B$5:$B$34,"Entry",'Reference VO 2017'!$D$5:$D$34,$B14,'Reference VO 2017'!$C$5:$C$34,I$6)</f>
        <v>0</v>
      </c>
      <c r="J14" s="51">
        <f>SUMIF($B$22,C14,$E$22)</f>
        <v>1</v>
      </c>
      <c r="K14" s="263">
        <f>'Reference VO 2017'!N10</f>
        <v>0</v>
      </c>
      <c r="L14" s="263">
        <f>'Reference VO 2017'!O10</f>
        <v>0</v>
      </c>
      <c r="M14" s="52"/>
      <c r="N14" s="51">
        <f>(1-discount_storage_entry)</f>
        <v>0</v>
      </c>
      <c r="O14" s="241">
        <f>N14*$J14*$C$27+VTPB_NICT!Q14</f>
        <v>0</v>
      </c>
      <c r="P14" s="242">
        <f t="shared" si="2"/>
        <v>0</v>
      </c>
      <c r="Q14" s="241">
        <f t="shared" si="12"/>
        <v>0</v>
      </c>
      <c r="R14" s="51">
        <f>(1-discount_storage_entry)</f>
        <v>0</v>
      </c>
      <c r="S14" s="263">
        <f t="shared" si="13"/>
        <v>0</v>
      </c>
      <c r="T14" s="242">
        <f t="shared" si="18"/>
        <v>0</v>
      </c>
      <c r="U14" s="241">
        <f t="shared" si="25"/>
        <v>0</v>
      </c>
      <c r="V14" s="436">
        <f t="shared" si="3"/>
        <v>0</v>
      </c>
      <c r="W14" s="437">
        <f t="shared" si="14"/>
        <v>0</v>
      </c>
      <c r="X14" s="242">
        <f t="shared" si="4"/>
        <v>0</v>
      </c>
      <c r="Y14" s="242">
        <f t="shared" si="19"/>
        <v>0</v>
      </c>
      <c r="Z14" s="281">
        <f t="shared" si="5"/>
        <v>0</v>
      </c>
      <c r="AA14" s="242">
        <f t="shared" si="6"/>
        <v>0</v>
      </c>
      <c r="AB14" s="242">
        <f t="shared" si="20"/>
        <v>0</v>
      </c>
      <c r="AC14" s="281">
        <f t="shared" si="15"/>
        <v>0</v>
      </c>
      <c r="AD14" s="444">
        <f t="shared" si="7"/>
        <v>0</v>
      </c>
      <c r="AE14" s="446">
        <f t="shared" si="21"/>
        <v>0</v>
      </c>
      <c r="AF14" s="242">
        <f t="shared" si="16"/>
        <v>0</v>
      </c>
      <c r="AG14" s="242">
        <f t="shared" si="17"/>
        <v>0</v>
      </c>
      <c r="AH14" s="281">
        <f t="shared" si="8"/>
        <v>0</v>
      </c>
      <c r="AI14" s="242">
        <f t="shared" si="9"/>
        <v>0</v>
      </c>
      <c r="AJ14" s="242">
        <f t="shared" si="22"/>
        <v>0</v>
      </c>
      <c r="AK14" s="281">
        <f t="shared" si="23"/>
        <v>0</v>
      </c>
      <c r="AL14" s="444">
        <f t="shared" si="10"/>
        <v>0</v>
      </c>
      <c r="AM14" s="446">
        <f t="shared" si="24"/>
        <v>0</v>
      </c>
      <c r="AN14" s="449"/>
      <c r="AO14" s="278">
        <f>IFERROR(MAX(AL14-VTPB_NICT!Q14,0),0)</f>
        <v>0</v>
      </c>
      <c r="AP14" s="278">
        <f>IFERROR(MAX(AM14-VTPB_NICT!R14,0),0)</f>
        <v>0</v>
      </c>
    </row>
    <row r="15" spans="1:42" x14ac:dyDescent="0.25">
      <c r="A15">
        <v>7</v>
      </c>
      <c r="B15" s="60" t="s">
        <v>96</v>
      </c>
      <c r="C15" s="36" t="s">
        <v>85</v>
      </c>
      <c r="D15" s="263">
        <f>'Reference VO 2017'!L11</f>
        <v>46</v>
      </c>
      <c r="E15" s="46">
        <f>'Reference VO 2017'!M11</f>
        <v>0</v>
      </c>
      <c r="F15" s="241">
        <f t="shared" si="0"/>
        <v>0</v>
      </c>
      <c r="G15" s="241">
        <f t="shared" si="1"/>
        <v>0</v>
      </c>
      <c r="H15" s="46">
        <f>SUMIFS('Reference VO 2017'!$H$5:$H$34,'Reference VO 2017'!$B$5:$B$34,"Entry",'Reference VO 2017'!$D$5:$D$34,$B15,'Reference VO 2017'!$C$5:$C$34,H$6)</f>
        <v>0</v>
      </c>
      <c r="I15" s="46">
        <f>SUMIFS('Reference VO 2017'!$H$5:$H$34,'Reference VO 2017'!$B$5:$B$34,"Entry",'Reference VO 2017'!$D$5:$D$34,$B15,'Reference VO 2017'!$C$5:$C$34,I$6)</f>
        <v>0</v>
      </c>
      <c r="J15" s="51">
        <f t="shared" si="11"/>
        <v>1</v>
      </c>
      <c r="K15" s="263">
        <f>'Reference VO 2017'!N11</f>
        <v>0.77</v>
      </c>
      <c r="L15" s="263">
        <f>'Reference VO 2017'!O11</f>
        <v>0</v>
      </c>
      <c r="M15" s="52"/>
      <c r="N15" s="51">
        <v>1</v>
      </c>
      <c r="O15" s="241">
        <f>N15*$J15*$C$27+VTPB_NICT!Q15</f>
        <v>1.0179521451204749</v>
      </c>
      <c r="P15" s="242">
        <f t="shared" si="2"/>
        <v>1</v>
      </c>
      <c r="Q15" s="241">
        <f t="shared" si="12"/>
        <v>0.84700000000000009</v>
      </c>
      <c r="R15" s="51">
        <f>1-discount_DZK</f>
        <v>0.9</v>
      </c>
      <c r="S15" s="263">
        <f t="shared" si="13"/>
        <v>0.91615693060842751</v>
      </c>
      <c r="T15" s="242">
        <f t="shared" si="18"/>
        <v>1</v>
      </c>
      <c r="U15" s="241">
        <f>Q15*(1-discount_DZK)</f>
        <v>0.76230000000000009</v>
      </c>
      <c r="V15" s="436">
        <f t="shared" si="3"/>
        <v>0.84700000000000009</v>
      </c>
      <c r="W15" s="437">
        <f t="shared" si="14"/>
        <v>0.76230000000000009</v>
      </c>
      <c r="X15" s="242">
        <f t="shared" si="4"/>
        <v>0</v>
      </c>
      <c r="Y15" s="242">
        <f t="shared" si="19"/>
        <v>1</v>
      </c>
      <c r="Z15" s="281">
        <f t="shared" si="5"/>
        <v>0.84700000000000009</v>
      </c>
      <c r="AA15" s="242">
        <f t="shared" si="6"/>
        <v>0</v>
      </c>
      <c r="AB15" s="242">
        <f t="shared" si="20"/>
        <v>1</v>
      </c>
      <c r="AC15" s="281">
        <f t="shared" si="15"/>
        <v>0.76230000000000009</v>
      </c>
      <c r="AD15" s="444">
        <f t="shared" si="7"/>
        <v>0.84700000000000009</v>
      </c>
      <c r="AE15" s="446">
        <f t="shared" si="21"/>
        <v>0.76230000000000009</v>
      </c>
      <c r="AF15" s="242">
        <f t="shared" si="16"/>
        <v>0</v>
      </c>
      <c r="AG15" s="242">
        <f t="shared" si="17"/>
        <v>1</v>
      </c>
      <c r="AH15" s="281">
        <f t="shared" si="8"/>
        <v>0.84700000000000009</v>
      </c>
      <c r="AI15" s="242">
        <f t="shared" si="9"/>
        <v>1</v>
      </c>
      <c r="AJ15" s="242">
        <f t="shared" si="22"/>
        <v>1</v>
      </c>
      <c r="AK15" s="281">
        <f t="shared" si="23"/>
        <v>0.76230000000000009</v>
      </c>
      <c r="AL15" s="444">
        <f t="shared" si="10"/>
        <v>0.84700000000000009</v>
      </c>
      <c r="AM15" s="446">
        <f t="shared" si="24"/>
        <v>0.76230000000000009</v>
      </c>
      <c r="AN15" s="449"/>
      <c r="AO15" s="278">
        <f>IFERROR(MAX(AL15-VTPB_NICT!Q15,0),0)</f>
        <v>0.60498681572974122</v>
      </c>
      <c r="AP15" s="278">
        <f>IFERROR(MAX(AM15-VTPB_NICT!R15,0),0)</f>
        <v>0.54448813415676711</v>
      </c>
    </row>
    <row r="16" spans="1:42" x14ac:dyDescent="0.25">
      <c r="A16">
        <v>8</v>
      </c>
      <c r="B16" t="s">
        <v>73</v>
      </c>
      <c r="C16" s="36" t="s">
        <v>85</v>
      </c>
      <c r="D16" s="263">
        <f>'Reference VO 2017'!L12</f>
        <v>238</v>
      </c>
      <c r="E16" s="46">
        <f>'Reference VO 2017'!M12</f>
        <v>0</v>
      </c>
      <c r="F16" s="241">
        <f t="shared" si="0"/>
        <v>0</v>
      </c>
      <c r="G16" s="241">
        <f t="shared" si="1"/>
        <v>0</v>
      </c>
      <c r="H16" s="46">
        <f>SUMIFS('Reference VO 2017'!$H$5:$H$34,'Reference VO 2017'!$B$5:$B$34,"Entry",'Reference VO 2017'!$D$5:$D$34,$B16,'Reference VO 2017'!$C$5:$C$34,H$6)</f>
        <v>0</v>
      </c>
      <c r="I16" s="46">
        <f>SUMIFS('Reference VO 2017'!$H$5:$H$34,'Reference VO 2017'!$B$5:$B$34,"Entry",'Reference VO 2017'!$D$5:$D$34,$B16,'Reference VO 2017'!$C$5:$C$34,I$6)</f>
        <v>0</v>
      </c>
      <c r="J16" s="51">
        <f t="shared" si="11"/>
        <v>1</v>
      </c>
      <c r="K16" s="263">
        <f>'Reference VO 2017'!N12</f>
        <v>1.1000000000000001</v>
      </c>
      <c r="L16" s="263">
        <f>'Reference VO 2017'!O12</f>
        <v>0</v>
      </c>
      <c r="M16" s="52"/>
      <c r="N16" s="51">
        <v>1</v>
      </c>
      <c r="O16" s="241">
        <f>N16*$J16*$C$27+VTPB_NICT!Q16</f>
        <v>1.0179521451204749</v>
      </c>
      <c r="P16" s="242">
        <f t="shared" si="2"/>
        <v>0</v>
      </c>
      <c r="Q16" s="241">
        <f t="shared" si="12"/>
        <v>1.0179521451204749</v>
      </c>
      <c r="R16" s="51">
        <f>1-discount_DZK</f>
        <v>0.9</v>
      </c>
      <c r="S16" s="263">
        <f t="shared" si="13"/>
        <v>0.91615693060842751</v>
      </c>
      <c r="T16" s="242">
        <f t="shared" si="18"/>
        <v>0</v>
      </c>
      <c r="U16" s="241">
        <f t="shared" si="25"/>
        <v>0.91615693060842751</v>
      </c>
      <c r="V16" s="436">
        <f t="shared" si="3"/>
        <v>1.1237380354023243</v>
      </c>
      <c r="W16" s="437">
        <f t="shared" si="14"/>
        <v>1.0113642318620919</v>
      </c>
      <c r="X16" s="242">
        <f>IF(K16=0,0,IF(V16&gt;(1+max_increase)*$K16,1,0))</f>
        <v>0</v>
      </c>
      <c r="Y16" s="242">
        <f>IF(X16+P16&gt;0,1,0)</f>
        <v>0</v>
      </c>
      <c r="Z16" s="281">
        <f t="shared" si="5"/>
        <v>1.1237380354023243</v>
      </c>
      <c r="AA16" s="242">
        <f t="shared" si="6"/>
        <v>0</v>
      </c>
      <c r="AB16" s="242">
        <f>Y16</f>
        <v>0</v>
      </c>
      <c r="AC16" s="281">
        <f t="shared" si="15"/>
        <v>1.0113642318620919</v>
      </c>
      <c r="AD16" s="444">
        <f t="shared" si="7"/>
        <v>1.1237380354023243</v>
      </c>
      <c r="AE16" s="446">
        <f t="shared" si="21"/>
        <v>1.0113642318620919</v>
      </c>
      <c r="AF16" s="242">
        <f t="shared" si="16"/>
        <v>0</v>
      </c>
      <c r="AG16" s="242">
        <f t="shared" si="17"/>
        <v>0</v>
      </c>
      <c r="AH16" s="281">
        <f t="shared" si="8"/>
        <v>1.1237380354023243</v>
      </c>
      <c r="AI16" s="242">
        <f t="shared" si="9"/>
        <v>0</v>
      </c>
      <c r="AJ16" s="242">
        <f t="shared" si="22"/>
        <v>0</v>
      </c>
      <c r="AK16" s="281">
        <f t="shared" si="23"/>
        <v>1.0113642318620919</v>
      </c>
      <c r="AL16" s="444">
        <f t="shared" si="10"/>
        <v>1.1237380354023243</v>
      </c>
      <c r="AM16" s="446">
        <f t="shared" si="24"/>
        <v>1.0113642318620919</v>
      </c>
      <c r="AN16" s="449"/>
      <c r="AO16" s="278">
        <f>IFERROR(MAX(AL16-VTPB_NICT!Q16,0),0)</f>
        <v>0.88172485113206545</v>
      </c>
      <c r="AP16" s="278">
        <f>IFERROR(MAX(AM16-VTPB_NICT!R16,0),0)</f>
        <v>0.79355236601885892</v>
      </c>
    </row>
    <row r="17" spans="1:42" x14ac:dyDescent="0.25">
      <c r="A17">
        <v>9</v>
      </c>
      <c r="B17" t="s">
        <v>74</v>
      </c>
      <c r="C17" s="36" t="s">
        <v>85</v>
      </c>
      <c r="D17" s="263">
        <f>'Reference VO 2017'!L13</f>
        <v>36</v>
      </c>
      <c r="E17" s="46">
        <f>'Reference VO 2017'!M13</f>
        <v>0</v>
      </c>
      <c r="F17" s="241">
        <f t="shared" si="0"/>
        <v>0</v>
      </c>
      <c r="G17" s="241">
        <f t="shared" si="1"/>
        <v>0</v>
      </c>
      <c r="H17" s="46">
        <f>SUMIFS('Reference VO 2017'!$H$5:$H$34,'Reference VO 2017'!$B$5:$B$34,"Entry",'Reference VO 2017'!$D$5:$D$34,$B17,'Reference VO 2017'!$C$5:$C$34,H$6)</f>
        <v>0</v>
      </c>
      <c r="I17" s="46">
        <f>SUMIFS('Reference VO 2017'!$H$5:$H$34,'Reference VO 2017'!$B$5:$B$34,"Entry",'Reference VO 2017'!$D$5:$D$34,$B17,'Reference VO 2017'!$C$5:$C$34,I$6)</f>
        <v>0</v>
      </c>
      <c r="J17" s="51">
        <f>SUMIF($B$22,C17,$E$22)</f>
        <v>1</v>
      </c>
      <c r="K17" s="263">
        <f>'Reference VO 2017'!N13</f>
        <v>0.77</v>
      </c>
      <c r="L17" s="263">
        <f>'Reference VO 2017'!O13</f>
        <v>0</v>
      </c>
      <c r="M17" s="52"/>
      <c r="N17" s="51">
        <v>1</v>
      </c>
      <c r="O17" s="241">
        <f>N17*$J17*$C$27+VTPB_NICT!Q17</f>
        <v>1.0179521451204749</v>
      </c>
      <c r="P17" s="242">
        <f t="shared" si="2"/>
        <v>1</v>
      </c>
      <c r="Q17" s="241">
        <f t="shared" si="12"/>
        <v>0.84700000000000009</v>
      </c>
      <c r="R17" s="51">
        <f>1-discount_DZK</f>
        <v>0.9</v>
      </c>
      <c r="S17" s="263">
        <f t="shared" si="13"/>
        <v>0.91615693060842751</v>
      </c>
      <c r="T17" s="242">
        <f t="shared" si="18"/>
        <v>1</v>
      </c>
      <c r="U17" s="241">
        <f t="shared" si="25"/>
        <v>0.76230000000000009</v>
      </c>
      <c r="V17" s="436">
        <f t="shared" si="3"/>
        <v>0.84700000000000009</v>
      </c>
      <c r="W17" s="437">
        <f t="shared" si="14"/>
        <v>0.76230000000000009</v>
      </c>
      <c r="X17" s="242">
        <f t="shared" si="4"/>
        <v>0</v>
      </c>
      <c r="Y17" s="242">
        <f t="shared" si="19"/>
        <v>1</v>
      </c>
      <c r="Z17" s="281">
        <f t="shared" si="5"/>
        <v>0.84700000000000009</v>
      </c>
      <c r="AA17" s="242">
        <f t="shared" si="6"/>
        <v>0</v>
      </c>
      <c r="AB17" s="242">
        <f t="shared" si="20"/>
        <v>1</v>
      </c>
      <c r="AC17" s="281">
        <f t="shared" si="15"/>
        <v>0.76230000000000009</v>
      </c>
      <c r="AD17" s="444">
        <f t="shared" si="7"/>
        <v>0.84700000000000009</v>
      </c>
      <c r="AE17" s="446">
        <f t="shared" si="21"/>
        <v>0.76230000000000009</v>
      </c>
      <c r="AF17" s="242">
        <f t="shared" si="16"/>
        <v>0</v>
      </c>
      <c r="AG17" s="242">
        <f t="shared" si="17"/>
        <v>1</v>
      </c>
      <c r="AH17" s="281">
        <f t="shared" si="8"/>
        <v>0.84700000000000009</v>
      </c>
      <c r="AI17" s="242">
        <f t="shared" si="9"/>
        <v>1</v>
      </c>
      <c r="AJ17" s="242">
        <f t="shared" si="22"/>
        <v>1</v>
      </c>
      <c r="AK17" s="281">
        <f t="shared" si="23"/>
        <v>0.76230000000000009</v>
      </c>
      <c r="AL17" s="444">
        <f t="shared" si="10"/>
        <v>0.84700000000000009</v>
      </c>
      <c r="AM17" s="446">
        <f t="shared" si="24"/>
        <v>0.76230000000000009</v>
      </c>
      <c r="AN17" s="449"/>
      <c r="AO17" s="278">
        <f>IFERROR(MAX(AL17-VTPB_NICT!Q17,0),0)</f>
        <v>0.60498681572974122</v>
      </c>
      <c r="AP17" s="278">
        <f>IFERROR(MAX(AM17-VTPB_NICT!R17,0),0)</f>
        <v>0.54448813415676711</v>
      </c>
    </row>
    <row r="18" spans="1:42" x14ac:dyDescent="0.25">
      <c r="A18">
        <v>10</v>
      </c>
      <c r="B18" t="s">
        <v>75</v>
      </c>
      <c r="C18" s="36" t="s">
        <v>85</v>
      </c>
      <c r="D18" s="263">
        <f>'Reference VO 2017'!L14</f>
        <v>37.275145170465059</v>
      </c>
      <c r="E18" s="46">
        <f>'Reference VO 2017'!M14</f>
        <v>10848000</v>
      </c>
      <c r="F18" s="241">
        <f t="shared" si="0"/>
        <v>7.3077630384272133E-2</v>
      </c>
      <c r="G18" s="241">
        <f t="shared" si="1"/>
        <v>2.723979281287332</v>
      </c>
      <c r="H18" s="46">
        <f>SUMIFS('Reference VO 2017'!$H$5:$H$34,'Reference VO 2017'!$B$5:$B$34,"Entry",'Reference VO 2017'!$D$5:$D$34,$B18,'Reference VO 2017'!$C$5:$C$34,H$6)</f>
        <v>10848000</v>
      </c>
      <c r="I18" s="46">
        <f>SUMIFS('Reference VO 2017'!$H$5:$H$34,'Reference VO 2017'!$B$5:$B$34,"Entry",'Reference VO 2017'!$D$5:$D$34,$B18,'Reference VO 2017'!$C$5:$C$34,I$6)</f>
        <v>0</v>
      </c>
      <c r="J18" s="51">
        <f t="shared" si="11"/>
        <v>1</v>
      </c>
      <c r="K18" s="263">
        <f>'Reference VO 2017'!N14</f>
        <v>0</v>
      </c>
      <c r="L18" s="263">
        <f>'Reference VO 2017'!O14</f>
        <v>0</v>
      </c>
      <c r="M18" s="52"/>
      <c r="N18" s="51">
        <f>1-VG_discount</f>
        <v>0</v>
      </c>
      <c r="O18" s="241">
        <f>N18*$J18*$C$27+VTPB_NICT!Q18</f>
        <v>0</v>
      </c>
      <c r="P18" s="242">
        <f>IF(K18=0,0,IF(O18&gt;(1+max_increase)*$K18,1,0))</f>
        <v>0</v>
      </c>
      <c r="Q18" s="241">
        <f t="shared" si="12"/>
        <v>0</v>
      </c>
      <c r="R18" s="51">
        <f>1-discount_DZK</f>
        <v>0.9</v>
      </c>
      <c r="S18" s="263">
        <f t="shared" si="13"/>
        <v>0</v>
      </c>
      <c r="T18" s="242">
        <f t="shared" si="18"/>
        <v>0</v>
      </c>
      <c r="U18" s="241">
        <f t="shared" si="25"/>
        <v>0</v>
      </c>
      <c r="V18" s="436">
        <f t="shared" si="3"/>
        <v>0</v>
      </c>
      <c r="W18" s="437">
        <f t="shared" si="14"/>
        <v>0</v>
      </c>
      <c r="X18" s="242">
        <f t="shared" si="4"/>
        <v>0</v>
      </c>
      <c r="Y18" s="242">
        <f t="shared" si="19"/>
        <v>0</v>
      </c>
      <c r="Z18" s="281">
        <f t="shared" si="5"/>
        <v>0</v>
      </c>
      <c r="AA18" s="242">
        <f t="shared" si="6"/>
        <v>0</v>
      </c>
      <c r="AB18" s="242">
        <f t="shared" si="20"/>
        <v>0</v>
      </c>
      <c r="AC18" s="281">
        <f t="shared" si="15"/>
        <v>0</v>
      </c>
      <c r="AD18" s="444">
        <f t="shared" si="7"/>
        <v>0</v>
      </c>
      <c r="AE18" s="446">
        <f t="shared" si="21"/>
        <v>0</v>
      </c>
      <c r="AF18" s="242">
        <f>IF(S18=0,0,IF(AD18&gt;(1+max_increase)*$K18,1,0))</f>
        <v>0</v>
      </c>
      <c r="AG18" s="242">
        <f t="shared" si="17"/>
        <v>0</v>
      </c>
      <c r="AH18" s="281">
        <f t="shared" si="8"/>
        <v>0</v>
      </c>
      <c r="AI18" s="242">
        <f t="shared" si="9"/>
        <v>0</v>
      </c>
      <c r="AJ18" s="242">
        <f t="shared" si="22"/>
        <v>0</v>
      </c>
      <c r="AK18" s="281">
        <f t="shared" si="23"/>
        <v>0</v>
      </c>
      <c r="AL18" s="444">
        <f t="shared" si="10"/>
        <v>0</v>
      </c>
      <c r="AM18" s="446">
        <f t="shared" si="24"/>
        <v>0</v>
      </c>
      <c r="AN18" s="449"/>
      <c r="AO18" s="278">
        <f>IFERROR(MAX(AL18-VTPB_NICT!Q18,0),0)</f>
        <v>0</v>
      </c>
      <c r="AP18" s="278">
        <f>IFERROR(MAX(AM18-VTPB_NICT!R18,0),0)</f>
        <v>0</v>
      </c>
    </row>
    <row r="19" spans="1:42" x14ac:dyDescent="0.25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389" t="s">
        <v>235</v>
      </c>
      <c r="Q19" s="412">
        <f>SUMPRODUCT(Q9:Q18,$H9:$H18)</f>
        <v>80588014.722848818</v>
      </c>
      <c r="R19" s="52"/>
      <c r="S19" s="52"/>
      <c r="T19" s="389"/>
      <c r="U19" s="412">
        <f>SUMPRODUCT(U9:U18,$I9:$I18)</f>
        <v>3437909.1291924911</v>
      </c>
      <c r="V19" s="438">
        <f>SUMPRODUCT(V9:V18,H9:H18)</f>
        <v>81756331.098087713</v>
      </c>
      <c r="W19" s="439">
        <f>SUMPRODUCT(W9:W18,I9:I18)</f>
        <v>3757520.0395010421</v>
      </c>
      <c r="X19" s="52"/>
      <c r="Y19" s="52"/>
      <c r="Z19" s="412">
        <f>SUMPRODUCT(Z9:Z18,$H9:$H18)</f>
        <v>81756331.098087713</v>
      </c>
      <c r="AA19" s="412"/>
      <c r="AB19" s="52"/>
      <c r="AC19" s="412">
        <f>SUMPRODUCT(AC9:AC18,$I$9:$I$18)</f>
        <v>3757520.0395010421</v>
      </c>
      <c r="AD19" s="438">
        <f>SUMPRODUCT(AD9:AD18,$H9:$H18)</f>
        <v>81756331.098087713</v>
      </c>
      <c r="AE19" s="439">
        <f>SUMPRODUCT(AE9:AE18,$I$9:$I$18)</f>
        <v>3757520.0395010421</v>
      </c>
      <c r="AF19" s="52"/>
      <c r="AG19" s="52"/>
      <c r="AH19" s="412">
        <f>SUMPRODUCT(AH9:AH18,$H9:$H18)</f>
        <v>81756331.098087713</v>
      </c>
      <c r="AI19" s="412"/>
      <c r="AJ19" s="52"/>
      <c r="AK19" s="412">
        <f>SUMPRODUCT(AK9:AK18,$I$9:$I$18)</f>
        <v>3757520.0395010421</v>
      </c>
      <c r="AL19" s="438">
        <f>SUMPRODUCT(AL9:AL18,$H9:$H18)</f>
        <v>81756331.098087713</v>
      </c>
      <c r="AM19" s="439">
        <f>SUMPRODUCT(AM9:AM18,$I$9:$I$18)</f>
        <v>3757520.0395010421</v>
      </c>
      <c r="AN19" s="450"/>
      <c r="AO19" s="52"/>
      <c r="AP19" s="413"/>
    </row>
    <row r="20" spans="1:42" ht="15.75" thickBot="1" x14ac:dyDescent="0.3">
      <c r="A20" s="33" t="s">
        <v>62</v>
      </c>
      <c r="C20" s="382" t="s">
        <v>87</v>
      </c>
      <c r="D20" s="382" t="s">
        <v>88</v>
      </c>
      <c r="E20" s="52"/>
      <c r="F20" s="52"/>
      <c r="G20" s="52"/>
      <c r="H20" s="46"/>
      <c r="I20" s="46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46">
        <f>Q19+U19-C25</f>
        <v>-29409986.725617006</v>
      </c>
      <c r="V20" s="440"/>
      <c r="W20" s="441">
        <f>V19+W19-$C$25</f>
        <v>-27922059.440069556</v>
      </c>
      <c r="X20" s="52"/>
      <c r="Y20" s="52"/>
      <c r="Z20" s="46">
        <f>AC19+Z19-W19-V19</f>
        <v>0</v>
      </c>
      <c r="AA20" s="52"/>
      <c r="AB20" s="52"/>
      <c r="AC20" s="52"/>
      <c r="AD20" s="440"/>
      <c r="AE20" s="441">
        <f>AD19+AE19-$C$25</f>
        <v>-27922059.440069556</v>
      </c>
      <c r="AF20" s="52"/>
      <c r="AG20" s="52"/>
      <c r="AH20" s="46">
        <f>AK19+AH19-AE19-AD19</f>
        <v>0</v>
      </c>
      <c r="AI20" s="52"/>
      <c r="AJ20" s="52"/>
      <c r="AK20" s="52"/>
      <c r="AL20" s="440"/>
      <c r="AM20" s="441">
        <f>AL19+AM19-$C$25</f>
        <v>-27922059.440069556</v>
      </c>
      <c r="AN20" s="84"/>
      <c r="AO20" s="46"/>
      <c r="AP20" s="52"/>
    </row>
    <row r="21" spans="1:42" ht="45" x14ac:dyDescent="0.25">
      <c r="A21" s="35" t="s">
        <v>48</v>
      </c>
      <c r="B21" s="35" t="s">
        <v>123</v>
      </c>
      <c r="C21" s="44" t="s">
        <v>86</v>
      </c>
      <c r="D21" s="35" t="s">
        <v>63</v>
      </c>
      <c r="E21" s="35" t="s">
        <v>64</v>
      </c>
      <c r="F21" s="35" t="s">
        <v>53</v>
      </c>
      <c r="G21" s="35" t="s">
        <v>54</v>
      </c>
    </row>
    <row r="22" spans="1:42" x14ac:dyDescent="0.25">
      <c r="A22" s="52">
        <v>1</v>
      </c>
      <c r="B22" t="str">
        <f>C9</f>
        <v>Entry MG Ost</v>
      </c>
      <c r="C22" s="31">
        <f>+SUM($E$9:$E$18)</f>
        <v>148444879</v>
      </c>
      <c r="D22" s="49">
        <f>+SUMPRODUCT($D$9:$D$18,$E$9:$E$18)/$C$22</f>
        <v>79.12200944809652</v>
      </c>
      <c r="E22" s="37">
        <f>D22/$D$22</f>
        <v>1</v>
      </c>
      <c r="F22" s="38">
        <f>+SUM(H9:H18)</f>
        <v>112464383</v>
      </c>
      <c r="G22" s="38">
        <f>+SUM(I9:I18)</f>
        <v>3888334.77</v>
      </c>
      <c r="K22" s="40"/>
      <c r="L22" s="31"/>
      <c r="O22" s="39"/>
      <c r="P22" s="39"/>
      <c r="V22" s="243"/>
    </row>
    <row r="23" spans="1:42" x14ac:dyDescent="0.25">
      <c r="C23" s="42"/>
      <c r="D23" s="46"/>
      <c r="E23" s="37"/>
      <c r="F23" s="38"/>
      <c r="G23" s="38"/>
      <c r="K23" s="40"/>
      <c r="L23" s="31"/>
    </row>
    <row r="24" spans="1:42" x14ac:dyDescent="0.25">
      <c r="B24" s="29" t="s">
        <v>323</v>
      </c>
      <c r="C24" s="261">
        <f>SUM(G9:G18)/SUM(G9:G18,G32:G56)</f>
        <v>0.25774741432080422</v>
      </c>
      <c r="D24" s="46"/>
      <c r="F24" s="38"/>
      <c r="G24" s="38"/>
      <c r="K24" s="40"/>
    </row>
    <row r="25" spans="1:42" x14ac:dyDescent="0.25">
      <c r="B25" s="29" t="s">
        <v>306</v>
      </c>
      <c r="C25" s="365">
        <f>EX_split_entry_theor*costs_capacity</f>
        <v>113435910.57765831</v>
      </c>
      <c r="D25" s="46"/>
      <c r="F25" s="38"/>
      <c r="G25" s="38"/>
      <c r="K25" s="40"/>
    </row>
    <row r="26" spans="1:42" x14ac:dyDescent="0.25">
      <c r="A26" s="31"/>
      <c r="B26" s="29" t="s">
        <v>307</v>
      </c>
      <c r="C26" s="365">
        <f>EX_split_entry_theor*N3</f>
        <v>89980895.874465123</v>
      </c>
      <c r="D26" s="42"/>
      <c r="H26" s="224"/>
      <c r="J26" s="37"/>
      <c r="K26" s="40"/>
    </row>
    <row r="27" spans="1:42" x14ac:dyDescent="0.25">
      <c r="A27" s="31"/>
      <c r="B27" s="29" t="s">
        <v>320</v>
      </c>
      <c r="C27" s="66">
        <f>C26/(E22*F22+E22*G22*(1-discount_DZK))</f>
        <v>0.77593896085021619</v>
      </c>
      <c r="E27" s="42"/>
      <c r="J27" s="37"/>
      <c r="K27" s="40"/>
      <c r="L27" s="31"/>
    </row>
    <row r="28" spans="1:42" x14ac:dyDescent="0.25">
      <c r="A28" s="31"/>
      <c r="F28" s="117"/>
      <c r="J28" s="37"/>
      <c r="K28" s="52"/>
      <c r="L28" s="52"/>
      <c r="M28" s="285"/>
      <c r="N28" s="28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</row>
    <row r="29" spans="1:42" x14ac:dyDescent="0.25">
      <c r="B29" s="29"/>
      <c r="H29" s="63" t="s">
        <v>70</v>
      </c>
      <c r="I29" s="63" t="s">
        <v>71</v>
      </c>
      <c r="J29" s="37"/>
      <c r="L29" s="31"/>
    </row>
    <row r="30" spans="1:42" ht="15.75" thickBot="1" x14ac:dyDescent="0.3">
      <c r="A30" s="33" t="s">
        <v>113</v>
      </c>
      <c r="D30" s="48" t="s">
        <v>88</v>
      </c>
      <c r="E30" s="48" t="s">
        <v>87</v>
      </c>
      <c r="G30" s="34"/>
      <c r="H30" s="64" t="s">
        <v>87</v>
      </c>
      <c r="I30" s="64" t="s">
        <v>87</v>
      </c>
      <c r="J30" s="52"/>
    </row>
    <row r="31" spans="1:42" ht="60" x14ac:dyDescent="0.25">
      <c r="A31" s="35" t="s">
        <v>48</v>
      </c>
      <c r="B31" s="35" t="s">
        <v>49</v>
      </c>
      <c r="C31" s="50" t="s">
        <v>50</v>
      </c>
      <c r="D31" s="50" t="s">
        <v>124</v>
      </c>
      <c r="E31" s="50" t="s">
        <v>324</v>
      </c>
      <c r="F31" s="50" t="s">
        <v>51</v>
      </c>
      <c r="G31" s="50" t="s">
        <v>52</v>
      </c>
      <c r="H31" s="411" t="s">
        <v>53</v>
      </c>
      <c r="I31" s="411" t="s">
        <v>54</v>
      </c>
      <c r="J31" s="50" t="s">
        <v>95</v>
      </c>
      <c r="K31" s="50" t="s">
        <v>328</v>
      </c>
      <c r="L31" s="50" t="s">
        <v>329</v>
      </c>
      <c r="M31" s="52"/>
      <c r="N31" s="45" t="str">
        <f>N8</f>
        <v>Correction factor FZK</v>
      </c>
      <c r="O31" s="45" t="str">
        <f t="shared" ref="O31:AP31" si="26">O8</f>
        <v>Theor. tariff FZK</v>
      </c>
      <c r="P31" s="45" t="str">
        <f t="shared" si="26"/>
        <v>FZK tariff capped?</v>
      </c>
      <c r="Q31" s="45" t="str">
        <f t="shared" si="26"/>
        <v>Capped unscaled tariff FZK</v>
      </c>
      <c r="R31" s="45" t="str">
        <f t="shared" si="26"/>
        <v>Correction factor DZK entry</v>
      </c>
      <c r="S31" s="45" t="str">
        <f t="shared" si="26"/>
        <v>Theor. tariff DZK</v>
      </c>
      <c r="T31" s="45" t="str">
        <f t="shared" si="26"/>
        <v>DZK tariff capped?</v>
      </c>
      <c r="U31" s="45" t="str">
        <f t="shared" si="26"/>
        <v>Capped unscaled tariff DZK</v>
      </c>
      <c r="V31" s="434" t="str">
        <f t="shared" si="26"/>
        <v>Rescaled tariff FZK</v>
      </c>
      <c r="W31" s="435" t="str">
        <f t="shared" si="26"/>
        <v>Rescaled tariff DZK</v>
      </c>
      <c r="X31" s="45" t="str">
        <f t="shared" si="26"/>
        <v>FZK cap exceeded new?</v>
      </c>
      <c r="Y31" s="45" t="str">
        <f t="shared" si="26"/>
        <v>Rescaling non-permissible</v>
      </c>
      <c r="Z31" s="45" t="str">
        <f t="shared" si="26"/>
        <v>Recapped rescaled tariff FZK</v>
      </c>
      <c r="AA31" s="45" t="str">
        <f t="shared" si="26"/>
        <v>DZK cap exceeded new?</v>
      </c>
      <c r="AB31" s="45" t="str">
        <f t="shared" si="26"/>
        <v>Rescaling non-permissible</v>
      </c>
      <c r="AC31" s="45" t="str">
        <f t="shared" si="26"/>
        <v>Recapped rescaled tariff DZK</v>
      </c>
      <c r="AD31" s="434" t="str">
        <f t="shared" si="26"/>
        <v>Step 2 rescaled tariff FZK</v>
      </c>
      <c r="AE31" s="435" t="str">
        <f t="shared" si="26"/>
        <v>Step 2 rescaled tariff DZK</v>
      </c>
      <c r="AF31" s="45" t="str">
        <f t="shared" si="26"/>
        <v>FZK cap exceeded new?</v>
      </c>
      <c r="AG31" s="45" t="str">
        <f t="shared" si="26"/>
        <v>Rescaling non-permissible</v>
      </c>
      <c r="AH31" s="45" t="str">
        <f t="shared" si="26"/>
        <v>Recapped re-rescaled tariff FZK</v>
      </c>
      <c r="AI31" s="45" t="str">
        <f t="shared" si="26"/>
        <v>DZK cap exceeded new?</v>
      </c>
      <c r="AJ31" s="45" t="str">
        <f t="shared" si="26"/>
        <v>Rescaling non-permissible</v>
      </c>
      <c r="AK31" s="45" t="str">
        <f t="shared" si="26"/>
        <v>Recapped re-rescaled tariff DZK</v>
      </c>
      <c r="AL31" s="434" t="str">
        <f t="shared" si="26"/>
        <v>Step 3 rescaled tariff FZK</v>
      </c>
      <c r="AM31" s="435" t="str">
        <f t="shared" si="26"/>
        <v>Step 3 rescaled tariff DZK</v>
      </c>
      <c r="AN31" s="45"/>
      <c r="AO31" s="45" t="str">
        <f t="shared" si="26"/>
        <v xml:space="preserve">ICT FZK </v>
      </c>
      <c r="AP31" s="45" t="str">
        <f t="shared" si="26"/>
        <v>ICT DZK</v>
      </c>
    </row>
    <row r="32" spans="1:42" x14ac:dyDescent="0.25">
      <c r="A32">
        <f>1</f>
        <v>1</v>
      </c>
      <c r="B32" t="s">
        <v>56</v>
      </c>
      <c r="C32" s="52" t="s">
        <v>83</v>
      </c>
      <c r="D32" s="83">
        <f>'Reference VO 2017'!L15</f>
        <v>381.59447</v>
      </c>
      <c r="E32" s="84">
        <f>'Reference VO 2017'!M15</f>
        <v>50014969</v>
      </c>
      <c r="F32" s="241">
        <f>E32/SUM($E$32:$E$56)</f>
        <v>0.36529213101394636</v>
      </c>
      <c r="G32" s="241">
        <f>D32*F32</f>
        <v>139.39345712943742</v>
      </c>
      <c r="H32" s="46">
        <f>SUMIFS('Reference VO 2017'!$H$5:$H$34,'Reference VO 2017'!$B$5:$B$34,"Exit",'Reference VO 2017'!$D$5:$D$34,$B32,'Reference VO 2017'!$C$5:$C$34,H$6)</f>
        <v>48558893.100000009</v>
      </c>
      <c r="I32" s="46">
        <f>SUMIFS('Reference VO 2017'!$H$5:$H$34,'Reference VO 2017'!$B$5:$B$34,"Exit",'Reference VO 2017'!$D$5:$D$34,$B32,'Reference VO 2017'!$C$5:$C$34,I$6)</f>
        <v>0</v>
      </c>
      <c r="J32" s="51">
        <f t="shared" ref="J32:J56" si="27">SUMIF($B$62:$B$68,C32,$E$62:$E$68)</f>
        <v>1</v>
      </c>
      <c r="K32" s="263">
        <f>'Reference VO 2017'!N15</f>
        <v>4.63</v>
      </c>
      <c r="L32" s="263">
        <f>'Reference VO 2017'!O15</f>
        <v>0</v>
      </c>
      <c r="M32" s="52"/>
      <c r="N32" s="51">
        <v>1</v>
      </c>
      <c r="O32" s="241">
        <f>N32*$J32*$C$73+VTPB_NICT!Q32</f>
        <v>4.4278508574245219</v>
      </c>
      <c r="P32" s="242">
        <f>IF(K32=0,0,IF(O32&gt;(1+max_increase)*$K32,1,0))</f>
        <v>0</v>
      </c>
      <c r="Q32" s="241">
        <f>(1-P32)*O32+P32*(1+max_increase)*K32</f>
        <v>4.4278508574245219</v>
      </c>
      <c r="R32" s="51">
        <f t="shared" ref="R32:R56" si="28">1-discount_DZK</f>
        <v>0.9</v>
      </c>
      <c r="S32" s="263">
        <f t="shared" ref="S32:S56" si="29">O32*R32</f>
        <v>3.9850657716820699</v>
      </c>
      <c r="T32" s="242">
        <f>P32</f>
        <v>0</v>
      </c>
      <c r="U32" s="241">
        <f t="shared" ref="U32:U56" si="30">Q32*(1-discount_DZK)</f>
        <v>3.9850657716820699</v>
      </c>
      <c r="V32" s="453">
        <f>((1-P32)*$S$63+P32)*Q32</f>
        <v>4.8879944380763094</v>
      </c>
      <c r="W32" s="454">
        <f>V32*R32</f>
        <v>4.3991949942686785</v>
      </c>
      <c r="X32" s="242">
        <f t="shared" ref="X32:X56" si="31">IF(K32=0,0,IF(V32&gt;(1+max_increase)*$K32,1,0))</f>
        <v>0</v>
      </c>
      <c r="Y32" s="242">
        <f>IF(X32+P32&gt;0,1,0)</f>
        <v>0</v>
      </c>
      <c r="Z32" s="281">
        <f t="shared" ref="Z32:Z56" si="32">IF(X32=1,K32*(1+max_increase),V32)</f>
        <v>4.8879944380763094</v>
      </c>
      <c r="AA32" s="242">
        <f t="shared" ref="AA32:AA56" si="33">IF(L32=0,0,IF(W32&gt;(1+max_increase)*$L32,1,0))</f>
        <v>0</v>
      </c>
      <c r="AB32" s="242">
        <f>Y32</f>
        <v>0</v>
      </c>
      <c r="AC32" s="281">
        <f>Z32*R32</f>
        <v>4.3991949942686785</v>
      </c>
      <c r="AD32" s="444">
        <f>IF(AB32=0,Z32*$AB$63,K32*(1+max_increase))</f>
        <v>4.8879944380763094</v>
      </c>
      <c r="AE32" s="446">
        <f>AD32*R32</f>
        <v>4.3991949942686785</v>
      </c>
      <c r="AF32" s="242">
        <f t="shared" ref="AF32:AF56" si="34">IF(S32=0,0,IF(AD32&gt;(1+max_increase)*$K32,1,0))</f>
        <v>0</v>
      </c>
      <c r="AG32" s="242">
        <f>IF(AF32+X32&gt;0,1,0)</f>
        <v>0</v>
      </c>
      <c r="AH32" s="281">
        <f t="shared" ref="AH32:AH56" si="35">IF(AF32=1,S32*(1+max_increase),AD32)</f>
        <v>4.8879944380763094</v>
      </c>
      <c r="AI32" s="242">
        <f>IF(T32=0,0,IF(AE32&gt;(1+max_increase)*$L32,1,0))</f>
        <v>0</v>
      </c>
      <c r="AJ32" s="242">
        <f>AG32</f>
        <v>0</v>
      </c>
      <c r="AK32" s="281">
        <f>AH32*R32</f>
        <v>4.3991949942686785</v>
      </c>
      <c r="AL32" s="444">
        <f t="shared" ref="AL32:AL56" si="36">IF(AJ32=0,AH32*$AJ$63,K32*(1+max_increase))</f>
        <v>4.8879944380763094</v>
      </c>
      <c r="AM32" s="446">
        <f>AL32*R32</f>
        <v>4.3991949942686785</v>
      </c>
      <c r="AN32" s="282"/>
      <c r="AO32" s="278">
        <f>IFERROR(MAX(AL32-VTPB_NICT!Q32,0),0)</f>
        <v>3.8680927016513982</v>
      </c>
      <c r="AP32" s="278">
        <f>IFERROR(MAX(AM32-VTPB_NICT!R32,0),0)</f>
        <v>3.4812834314862582</v>
      </c>
    </row>
    <row r="33" spans="1:42" x14ac:dyDescent="0.25">
      <c r="A33">
        <f>A32+1</f>
        <v>2</v>
      </c>
      <c r="B33" s="60" t="s">
        <v>58</v>
      </c>
      <c r="C33" s="54" t="s">
        <v>77</v>
      </c>
      <c r="D33" s="83">
        <f>D36</f>
        <v>242</v>
      </c>
      <c r="E33" s="84">
        <f>'Reference VO 2017'!M16</f>
        <v>10272000</v>
      </c>
      <c r="F33" s="241">
        <f t="shared" ref="F33:F56" si="37">E33/SUM($E$32:$E$56)</f>
        <v>7.5023154963372196E-2</v>
      </c>
      <c r="G33" s="241">
        <f t="shared" ref="G33:G56" si="38">D33*F33</f>
        <v>18.155603501136071</v>
      </c>
      <c r="H33" s="46">
        <f>SUMIFS('Reference VO 2017'!$H$5:$H$34,'Reference VO 2017'!$B$5:$B$34,"Exit",'Reference VO 2017'!$D$5:$D$34,$B33,'Reference VO 2017'!$C$5:$C$34,H$6)</f>
        <v>5436471.2699999996</v>
      </c>
      <c r="I33" s="46">
        <f>SUMIFS('Reference VO 2017'!$H$5:$H$34,'Reference VO 2017'!$B$5:$B$34,"Exit",'Reference VO 2017'!$D$5:$D$34,$B33,'Reference VO 2017'!$C$5:$C$34,I$6)</f>
        <v>0</v>
      </c>
      <c r="J33" s="51">
        <f t="shared" si="27"/>
        <v>0.41581601924538891</v>
      </c>
      <c r="K33" s="263">
        <f>'Reference VO 2017'!N16</f>
        <v>1.1200000000000001</v>
      </c>
      <c r="L33" s="263">
        <f>'Reference VO 2017'!O16</f>
        <v>0</v>
      </c>
      <c r="M33" s="52"/>
      <c r="N33" s="51">
        <v>1</v>
      </c>
      <c r="O33" s="241">
        <f>N33*$J33*$C$73+VTPB_NICT!Q33</f>
        <v>1.8411713173465465</v>
      </c>
      <c r="P33" s="242">
        <f>IF(K33=0,0,IF(O33&gt;(1+max_increase)*$K33,1,0))</f>
        <v>1</v>
      </c>
      <c r="Q33" s="241">
        <f>(1-P33)*O33+P33*(1+max_increase)*K33</f>
        <v>1.2320000000000002</v>
      </c>
      <c r="R33" s="51">
        <f t="shared" si="28"/>
        <v>0.9</v>
      </c>
      <c r="S33" s="263">
        <f t="shared" si="29"/>
        <v>1.6570541856118919</v>
      </c>
      <c r="T33" s="242">
        <f t="shared" ref="T33:T56" si="39">P33</f>
        <v>1</v>
      </c>
      <c r="U33" s="241">
        <f>Q33*(1-discount_DZK)</f>
        <v>1.1088000000000002</v>
      </c>
      <c r="V33" s="453">
        <f>((1-P33)*$S$63+P33)*Q33</f>
        <v>1.2320000000000002</v>
      </c>
      <c r="W33" s="454">
        <f t="shared" ref="W33:W56" si="40">V33*R33</f>
        <v>1.1088000000000002</v>
      </c>
      <c r="X33" s="242">
        <f t="shared" si="31"/>
        <v>0</v>
      </c>
      <c r="Y33" s="242">
        <f t="shared" ref="Y33:Y56" si="41">IF(X33+P33&gt;0,1,0)</f>
        <v>1</v>
      </c>
      <c r="Z33" s="281">
        <f t="shared" si="32"/>
        <v>1.2320000000000002</v>
      </c>
      <c r="AA33" s="242">
        <f t="shared" si="33"/>
        <v>0</v>
      </c>
      <c r="AB33" s="242">
        <f t="shared" ref="AB33:AB56" si="42">Y33</f>
        <v>1</v>
      </c>
      <c r="AC33" s="281">
        <f t="shared" ref="AC33:AC56" si="43">Z33*R33</f>
        <v>1.1088000000000002</v>
      </c>
      <c r="AD33" s="444">
        <f>IF(AB33=0,Z33*$AB$63,K33*(1+max_increase))</f>
        <v>1.2320000000000002</v>
      </c>
      <c r="AE33" s="446">
        <f>AD33*R33</f>
        <v>1.1088000000000002</v>
      </c>
      <c r="AF33" s="242">
        <f t="shared" si="34"/>
        <v>0</v>
      </c>
      <c r="AG33" s="242">
        <f t="shared" ref="AG33:AG56" si="44">IF(AF33+X33&gt;0,1,0)</f>
        <v>0</v>
      </c>
      <c r="AH33" s="281">
        <f t="shared" si="35"/>
        <v>1.2320000000000002</v>
      </c>
      <c r="AI33" s="242">
        <f>IF(T33=0,0,IF(AE33&gt;(1+max_increase)*$L33,1,0))</f>
        <v>1</v>
      </c>
      <c r="AJ33" s="242">
        <f t="shared" ref="AJ33:AJ56" si="45">AG33</f>
        <v>0</v>
      </c>
      <c r="AK33" s="281">
        <f>AH33*R33</f>
        <v>1.1088000000000002</v>
      </c>
      <c r="AL33" s="444">
        <f t="shared" si="36"/>
        <v>1.2320000000000002</v>
      </c>
      <c r="AM33" s="446">
        <f t="shared" ref="AM33:AM56" si="46">AL33*R33</f>
        <v>1.1088000000000002</v>
      </c>
      <c r="AN33" s="282"/>
      <c r="AO33" s="278">
        <f>IFERROR(MAX(AL33-VTPB_NICT!Q33,0),0)</f>
        <v>0.80790851993833368</v>
      </c>
      <c r="AP33" s="278">
        <f>IFERROR(MAX(AM33-VTPB_NICT!R33,0),0)</f>
        <v>0.72711766794450039</v>
      </c>
    </row>
    <row r="34" spans="1:42" x14ac:dyDescent="0.25">
      <c r="A34">
        <f>A33+1</f>
        <v>3</v>
      </c>
      <c r="B34" s="60" t="s">
        <v>96</v>
      </c>
      <c r="C34" s="54" t="s">
        <v>77</v>
      </c>
      <c r="D34" s="83">
        <f>'Reference VO 2017'!L17</f>
        <v>46</v>
      </c>
      <c r="E34" s="84">
        <f>'Reference VO 2017'!M17</f>
        <v>6378300</v>
      </c>
      <c r="F34" s="241">
        <f t="shared" si="37"/>
        <v>4.6584909394750476E-2</v>
      </c>
      <c r="G34" s="241">
        <f t="shared" si="38"/>
        <v>2.1429058321585219</v>
      </c>
      <c r="H34" s="46">
        <f>SUMIFS('Reference VO 2017'!$H$5:$H$34,'Reference VO 2017'!$B$5:$B$34,"Exit",'Reference VO 2017'!$D$5:$D$34,$B34,'Reference VO 2017'!$C$5:$C$34,H$6)</f>
        <v>6378300</v>
      </c>
      <c r="I34" s="46">
        <f>SUMIFS('Reference VO 2017'!$H$5:$H$34,'Reference VO 2017'!$B$5:$B$34,"Exit",'Reference VO 2017'!$D$5:$D$34,$B34,'Reference VO 2017'!$C$5:$C$34,I$6)</f>
        <v>0</v>
      </c>
      <c r="J34" s="51">
        <f t="shared" si="27"/>
        <v>0.41581601924538891</v>
      </c>
      <c r="K34" s="263">
        <f>'Reference VO 2017'!N17</f>
        <v>1.1200000000000001</v>
      </c>
      <c r="L34" s="263">
        <f>'Reference VO 2017'!O17</f>
        <v>0</v>
      </c>
      <c r="M34" s="52"/>
      <c r="N34" s="51">
        <v>1</v>
      </c>
      <c r="O34" s="241">
        <f>N34*$J34*$C$73+VTPB_NICT!Q34</f>
        <v>1.8411713173465465</v>
      </c>
      <c r="P34" s="242">
        <f>IF(K34=0,0,IF(O34&gt;(1+max_increase)*$K34,1,0))</f>
        <v>1</v>
      </c>
      <c r="Q34" s="241">
        <f>(1-P34)*O34+P34*(1+max_increase)*K34</f>
        <v>1.2320000000000002</v>
      </c>
      <c r="R34" s="51">
        <f t="shared" si="28"/>
        <v>0.9</v>
      </c>
      <c r="S34" s="263">
        <f t="shared" si="29"/>
        <v>1.6570541856118919</v>
      </c>
      <c r="T34" s="242">
        <f t="shared" si="39"/>
        <v>1</v>
      </c>
      <c r="U34" s="241">
        <f t="shared" si="30"/>
        <v>1.1088000000000002</v>
      </c>
      <c r="V34" s="453">
        <f>((1-P34)*$S$63+P34)*Q34</f>
        <v>1.2320000000000002</v>
      </c>
      <c r="W34" s="454">
        <f t="shared" si="40"/>
        <v>1.1088000000000002</v>
      </c>
      <c r="X34" s="242">
        <f t="shared" si="31"/>
        <v>0</v>
      </c>
      <c r="Y34" s="242">
        <f t="shared" si="41"/>
        <v>1</v>
      </c>
      <c r="Z34" s="281">
        <f t="shared" si="32"/>
        <v>1.2320000000000002</v>
      </c>
      <c r="AA34" s="242">
        <f t="shared" si="33"/>
        <v>0</v>
      </c>
      <c r="AB34" s="242">
        <f t="shared" si="42"/>
        <v>1</v>
      </c>
      <c r="AC34" s="281">
        <f t="shared" si="43"/>
        <v>1.1088000000000002</v>
      </c>
      <c r="AD34" s="444">
        <f>IF(AB34=0,Z34*$AB$63,K34*(1+max_increase))</f>
        <v>1.2320000000000002</v>
      </c>
      <c r="AE34" s="446">
        <f t="shared" ref="AE34:AE56" si="47">AD34*R34</f>
        <v>1.1088000000000002</v>
      </c>
      <c r="AF34" s="242">
        <f t="shared" si="34"/>
        <v>0</v>
      </c>
      <c r="AG34" s="242">
        <f t="shared" si="44"/>
        <v>0</v>
      </c>
      <c r="AH34" s="281">
        <f t="shared" si="35"/>
        <v>1.2320000000000002</v>
      </c>
      <c r="AI34" s="242">
        <f t="shared" ref="AI34:AI56" si="48">IF(T34=0,0,IF(AE34&gt;(1+max_increase)*$L34,1,0))</f>
        <v>1</v>
      </c>
      <c r="AJ34" s="242">
        <f t="shared" si="45"/>
        <v>0</v>
      </c>
      <c r="AK34" s="281">
        <f t="shared" ref="AK34:AK56" si="49">AH34*R34</f>
        <v>1.1088000000000002</v>
      </c>
      <c r="AL34" s="444">
        <f t="shared" si="36"/>
        <v>1.2320000000000002</v>
      </c>
      <c r="AM34" s="446">
        <f t="shared" si="46"/>
        <v>1.1088000000000002</v>
      </c>
      <c r="AN34" s="282"/>
      <c r="AO34" s="278">
        <f>IFERROR(MAX(AL34-VTPB_NICT!Q34,0),0)</f>
        <v>0.80790851993833368</v>
      </c>
      <c r="AP34" s="278">
        <f>IFERROR(MAX(AM34-VTPB_NICT!R34,0),0)</f>
        <v>0.72711766794450039</v>
      </c>
    </row>
    <row r="35" spans="1:42" x14ac:dyDescent="0.25">
      <c r="A35">
        <f>A34+1</f>
        <v>4</v>
      </c>
      <c r="B35" s="60" t="s">
        <v>73</v>
      </c>
      <c r="C35" s="54" t="s">
        <v>79</v>
      </c>
      <c r="D35" s="83">
        <f>'Reference VO 2017'!L18</f>
        <v>238</v>
      </c>
      <c r="E35" s="84">
        <f>'Reference VO 2017'!M18</f>
        <v>4688610</v>
      </c>
      <c r="F35" s="241">
        <f t="shared" si="37"/>
        <v>3.4243994800702546E-2</v>
      </c>
      <c r="G35" s="241">
        <f t="shared" si="38"/>
        <v>8.1500707625672053</v>
      </c>
      <c r="H35" s="46">
        <f>SUMIFS('Reference VO 2017'!$H$5:$H$34,'Reference VO 2017'!$B$5:$B$34,"Exit",'Reference VO 2017'!$D$5:$D$34,$B35,'Reference VO 2017'!$C$5:$C$34,H$6)</f>
        <v>3382423.6799999997</v>
      </c>
      <c r="I35" s="46">
        <f>SUMIFS('Reference VO 2017'!$H$5:$H$34,'Reference VO 2017'!$B$5:$B$34,"Exit",'Reference VO 2017'!$D$5:$D$34,$B35,'Reference VO 2017'!$C$5:$C$34,I$6)</f>
        <v>0</v>
      </c>
      <c r="J35" s="51">
        <f t="shared" si="27"/>
        <v>0.62369876586523909</v>
      </c>
      <c r="K35" s="263">
        <f>'Reference VO 2017'!N18</f>
        <v>3.33</v>
      </c>
      <c r="L35" s="263">
        <f>'Reference VO 2017'!O18</f>
        <v>0</v>
      </c>
      <c r="M35" s="52"/>
      <c r="N35" s="51">
        <v>1</v>
      </c>
      <c r="O35" s="241">
        <f>N35*$J35*$C$73+VTPB_NICT!Q35</f>
        <v>2.7616451152110151</v>
      </c>
      <c r="P35" s="242">
        <v>1</v>
      </c>
      <c r="Q35" s="473">
        <f>benchmark_m</f>
        <v>1.8999957199999997</v>
      </c>
      <c r="R35" s="51">
        <f t="shared" si="28"/>
        <v>0.9</v>
      </c>
      <c r="S35" s="263">
        <f t="shared" si="29"/>
        <v>2.4854806036899135</v>
      </c>
      <c r="T35" s="242">
        <f t="shared" si="39"/>
        <v>1</v>
      </c>
      <c r="U35" s="241">
        <f t="shared" si="30"/>
        <v>1.7099961479999999</v>
      </c>
      <c r="V35" s="453">
        <f t="shared" ref="V35:V56" si="50">((1-P35)*$S$63+P35)*Q35</f>
        <v>1.8999957199999997</v>
      </c>
      <c r="W35" s="454">
        <f t="shared" si="40"/>
        <v>1.7099961479999999</v>
      </c>
      <c r="X35" s="242">
        <f t="shared" si="31"/>
        <v>0</v>
      </c>
      <c r="Y35" s="242">
        <f t="shared" si="41"/>
        <v>1</v>
      </c>
      <c r="Z35" s="281">
        <f t="shared" si="32"/>
        <v>1.8999957199999997</v>
      </c>
      <c r="AA35" s="242">
        <f t="shared" si="33"/>
        <v>0</v>
      </c>
      <c r="AB35" s="242">
        <f t="shared" si="42"/>
        <v>1</v>
      </c>
      <c r="AC35" s="281">
        <f t="shared" si="43"/>
        <v>1.7099961479999999</v>
      </c>
      <c r="AD35" s="444">
        <f>Z35</f>
        <v>1.8999957199999997</v>
      </c>
      <c r="AE35" s="446">
        <f t="shared" si="47"/>
        <v>1.7099961479999999</v>
      </c>
      <c r="AF35" s="242">
        <f t="shared" si="34"/>
        <v>0</v>
      </c>
      <c r="AG35" s="242">
        <f t="shared" si="44"/>
        <v>0</v>
      </c>
      <c r="AH35" s="281">
        <f t="shared" si="35"/>
        <v>1.8999957199999997</v>
      </c>
      <c r="AI35" s="242">
        <f t="shared" si="48"/>
        <v>1</v>
      </c>
      <c r="AJ35" s="242">
        <f t="shared" si="45"/>
        <v>0</v>
      </c>
      <c r="AK35" s="281">
        <f t="shared" si="49"/>
        <v>1.7099961479999999</v>
      </c>
      <c r="AL35" s="444">
        <f t="shared" si="36"/>
        <v>1.8999957199999997</v>
      </c>
      <c r="AM35" s="446">
        <f t="shared" si="46"/>
        <v>1.7099961479999999</v>
      </c>
      <c r="AN35" s="282"/>
      <c r="AO35" s="278">
        <f>IFERROR(MAX(AL35-VTPB_NICT!Q35,0),0)</f>
        <v>1.2638842656879681</v>
      </c>
      <c r="AP35" s="278">
        <f>IFERROR(MAX(AM35-VTPB_NICT!R35,0),0)</f>
        <v>1.1374958391191714</v>
      </c>
    </row>
    <row r="36" spans="1:42" ht="14.45" customHeight="1" x14ac:dyDescent="0.25">
      <c r="A36">
        <f t="shared" ref="A36:A56" si="51">A35+1</f>
        <v>5</v>
      </c>
      <c r="B36" s="60" t="s">
        <v>59</v>
      </c>
      <c r="C36" s="54" t="s">
        <v>78</v>
      </c>
      <c r="D36" s="83">
        <f>'Reference VO 2017'!L19</f>
        <v>242</v>
      </c>
      <c r="E36" s="84">
        <f>'Reference VO 2017'!M19</f>
        <v>15660325</v>
      </c>
      <c r="F36" s="241">
        <f t="shared" si="37"/>
        <v>0.11437762745831112</v>
      </c>
      <c r="G36" s="241">
        <f t="shared" si="38"/>
        <v>27.679385844911291</v>
      </c>
      <c r="H36" s="46">
        <f>SUMIFS('Reference VO 2017'!$H$5:$H$34,'Reference VO 2017'!$B$5:$B$34,"Exit",'Reference VO 2017'!$D$5:$D$34,$B36,'Reference VO 2017'!$C$5:$C$34,H$6)</f>
        <v>15660326.67</v>
      </c>
      <c r="I36" s="46">
        <f>SUMIFS('Reference VO 2017'!$H$5:$H$34,'Reference VO 2017'!$B$5:$B$34,"Exit",'Reference VO 2017'!$D$5:$D$34,$B36,'Reference VO 2017'!$C$5:$C$34,I$6)</f>
        <v>0</v>
      </c>
      <c r="J36" s="51">
        <f t="shared" si="27"/>
        <v>0.71313770592425541</v>
      </c>
      <c r="K36" s="263">
        <f>'Reference VO 2017'!N19</f>
        <v>3.44</v>
      </c>
      <c r="L36" s="263">
        <f>'Reference VO 2017'!O19</f>
        <v>0</v>
      </c>
      <c r="M36" s="52"/>
      <c r="N36" s="51">
        <v>1</v>
      </c>
      <c r="O36" s="241">
        <f>N36*$J36*$C$73+VTPB_NICT!Q36</f>
        <v>3.1576674026384706</v>
      </c>
      <c r="P36" s="242">
        <f t="shared" ref="P36:P52" si="52">IF(K36=0,0,IF(O36&gt;(1+max_increase)*$K36,1,0))</f>
        <v>0</v>
      </c>
      <c r="Q36" s="241">
        <f t="shared" ref="Q36:Q56" si="53">(1-P36)*O36+P36*(1+max_increase)*K36</f>
        <v>3.1576674026384706</v>
      </c>
      <c r="R36" s="51">
        <f t="shared" si="28"/>
        <v>0.9</v>
      </c>
      <c r="S36" s="263">
        <f t="shared" si="29"/>
        <v>2.8419006623746235</v>
      </c>
      <c r="T36" s="242">
        <f>P36</f>
        <v>0</v>
      </c>
      <c r="U36" s="241">
        <f t="shared" si="30"/>
        <v>2.8419006623746235</v>
      </c>
      <c r="V36" s="453">
        <f t="shared" si="50"/>
        <v>3.4858131401402588</v>
      </c>
      <c r="W36" s="454">
        <f t="shared" si="40"/>
        <v>3.1372318261262331</v>
      </c>
      <c r="X36" s="242">
        <f t="shared" si="31"/>
        <v>0</v>
      </c>
      <c r="Y36" s="242">
        <f t="shared" si="41"/>
        <v>0</v>
      </c>
      <c r="Z36" s="281">
        <f t="shared" si="32"/>
        <v>3.4858131401402588</v>
      </c>
      <c r="AA36" s="242">
        <f t="shared" si="33"/>
        <v>0</v>
      </c>
      <c r="AB36" s="242">
        <f t="shared" si="42"/>
        <v>0</v>
      </c>
      <c r="AC36" s="281">
        <f t="shared" si="43"/>
        <v>3.1372318261262331</v>
      </c>
      <c r="AD36" s="444">
        <f t="shared" ref="AD36:AD56" si="54">IF(AB36=0,Z36*$AB$63,K36*(1+max_increase))</f>
        <v>3.4858131401402588</v>
      </c>
      <c r="AE36" s="446">
        <f t="shared" si="47"/>
        <v>3.1372318261262331</v>
      </c>
      <c r="AF36" s="242">
        <f t="shared" si="34"/>
        <v>0</v>
      </c>
      <c r="AG36" s="242">
        <f t="shared" si="44"/>
        <v>0</v>
      </c>
      <c r="AH36" s="281">
        <f t="shared" si="35"/>
        <v>3.4858131401402588</v>
      </c>
      <c r="AI36" s="242">
        <f t="shared" si="48"/>
        <v>0</v>
      </c>
      <c r="AJ36" s="242">
        <f t="shared" si="45"/>
        <v>0</v>
      </c>
      <c r="AK36" s="281">
        <f t="shared" si="49"/>
        <v>3.1372318261262331</v>
      </c>
      <c r="AL36" s="444">
        <f t="shared" si="36"/>
        <v>3.4858131401402588</v>
      </c>
      <c r="AM36" s="446">
        <f>AL36*R36</f>
        <v>3.1372318261262331</v>
      </c>
      <c r="AN36" s="282"/>
      <c r="AO36" s="278">
        <f>IFERROR(MAX(AL36-VTPB_NICT!Q36,0),0)</f>
        <v>2.7584827555580329</v>
      </c>
      <c r="AP36" s="278">
        <f>IFERROR(MAX(AM36-VTPB_NICT!R36,0),0)</f>
        <v>2.48263448000223</v>
      </c>
    </row>
    <row r="37" spans="1:42" ht="15" customHeight="1" x14ac:dyDescent="0.25">
      <c r="A37">
        <f t="shared" si="51"/>
        <v>6</v>
      </c>
      <c r="B37" s="60" t="s">
        <v>74</v>
      </c>
      <c r="C37" s="54" t="s">
        <v>77</v>
      </c>
      <c r="D37" s="83">
        <f>'Reference VO 2017'!L20</f>
        <v>36</v>
      </c>
      <c r="E37" s="84">
        <f>'Reference VO 2017'!M20</f>
        <v>1119000</v>
      </c>
      <c r="F37" s="241">
        <f t="shared" si="37"/>
        <v>8.1727911218860486E-3</v>
      </c>
      <c r="G37" s="241">
        <f t="shared" si="38"/>
        <v>0.29422048038789772</v>
      </c>
      <c r="H37" s="46">
        <f>SUMIFS('Reference VO 2017'!$H$5:$H$34,'Reference VO 2017'!$B$5:$B$34,"Exit",'Reference VO 2017'!$D$5:$D$34,$B37,'Reference VO 2017'!$C$5:$C$34,H$6)</f>
        <v>0</v>
      </c>
      <c r="I37" s="46">
        <f>SUMIFS('Reference VO 2017'!$H$5:$H$34,'Reference VO 2017'!$B$5:$B$34,"Exit",'Reference VO 2017'!$D$5:$D$34,$B37,'Reference VO 2017'!$C$5:$C$34,I$6)</f>
        <v>0</v>
      </c>
      <c r="J37" s="51">
        <f t="shared" si="27"/>
        <v>0.41581601924538891</v>
      </c>
      <c r="K37" s="263">
        <f>'Reference VO 2017'!N20</f>
        <v>1.1200000000000001</v>
      </c>
      <c r="L37" s="263">
        <f>'Reference VO 2017'!O20</f>
        <v>0</v>
      </c>
      <c r="M37" s="52"/>
      <c r="N37" s="51">
        <v>1</v>
      </c>
      <c r="O37" s="241">
        <f>N37*$J37*$C$73+VTPB_NICT!Q37</f>
        <v>1.8411713173465465</v>
      </c>
      <c r="P37" s="242">
        <f t="shared" si="52"/>
        <v>1</v>
      </c>
      <c r="Q37" s="241">
        <f t="shared" si="53"/>
        <v>1.2320000000000002</v>
      </c>
      <c r="R37" s="51">
        <f t="shared" si="28"/>
        <v>0.9</v>
      </c>
      <c r="S37" s="263">
        <f t="shared" si="29"/>
        <v>1.6570541856118919</v>
      </c>
      <c r="T37" s="242">
        <f t="shared" si="39"/>
        <v>1</v>
      </c>
      <c r="U37" s="241">
        <f t="shared" si="30"/>
        <v>1.1088000000000002</v>
      </c>
      <c r="V37" s="453">
        <f t="shared" si="50"/>
        <v>1.2320000000000002</v>
      </c>
      <c r="W37" s="454">
        <f t="shared" si="40"/>
        <v>1.1088000000000002</v>
      </c>
      <c r="X37" s="242">
        <f t="shared" si="31"/>
        <v>0</v>
      </c>
      <c r="Y37" s="242">
        <f t="shared" si="41"/>
        <v>1</v>
      </c>
      <c r="Z37" s="281">
        <f t="shared" si="32"/>
        <v>1.2320000000000002</v>
      </c>
      <c r="AA37" s="242">
        <f t="shared" si="33"/>
        <v>0</v>
      </c>
      <c r="AB37" s="242">
        <f t="shared" si="42"/>
        <v>1</v>
      </c>
      <c r="AC37" s="281">
        <f t="shared" si="43"/>
        <v>1.1088000000000002</v>
      </c>
      <c r="AD37" s="444">
        <f t="shared" si="54"/>
        <v>1.2320000000000002</v>
      </c>
      <c r="AE37" s="446">
        <f>AD37*R37</f>
        <v>1.1088000000000002</v>
      </c>
      <c r="AF37" s="242">
        <f t="shared" si="34"/>
        <v>0</v>
      </c>
      <c r="AG37" s="242">
        <f t="shared" si="44"/>
        <v>0</v>
      </c>
      <c r="AH37" s="281">
        <f t="shared" si="35"/>
        <v>1.2320000000000002</v>
      </c>
      <c r="AI37" s="242">
        <f t="shared" si="48"/>
        <v>1</v>
      </c>
      <c r="AJ37" s="242">
        <f t="shared" si="45"/>
        <v>0</v>
      </c>
      <c r="AK37" s="281">
        <f t="shared" si="49"/>
        <v>1.1088000000000002</v>
      </c>
      <c r="AL37" s="444">
        <f t="shared" si="36"/>
        <v>1.2320000000000002</v>
      </c>
      <c r="AM37" s="446">
        <f t="shared" si="46"/>
        <v>1.1088000000000002</v>
      </c>
      <c r="AN37" s="282"/>
      <c r="AO37" s="278">
        <f>IFERROR(MAX(AL37-VTPB_NICT!Q37,0),0)</f>
        <v>0.80790851993833368</v>
      </c>
      <c r="AP37" s="278">
        <f>IFERROR(MAX(AM37-VTPB_NICT!R37,0),0)</f>
        <v>0.72711766794450039</v>
      </c>
    </row>
    <row r="38" spans="1:42" ht="14.45" customHeight="1" x14ac:dyDescent="0.25">
      <c r="A38">
        <f t="shared" si="51"/>
        <v>7</v>
      </c>
      <c r="B38" s="60" t="s">
        <v>60</v>
      </c>
      <c r="C38" s="54" t="s">
        <v>78</v>
      </c>
      <c r="D38" s="83">
        <f>'Reference VO 2017'!L21</f>
        <v>337</v>
      </c>
      <c r="E38" s="84">
        <f>'Reference VO 2017'!M21</f>
        <v>7273500</v>
      </c>
      <c r="F38" s="241">
        <f t="shared" si="37"/>
        <v>5.3123142292259319E-2</v>
      </c>
      <c r="G38" s="241">
        <f t="shared" si="38"/>
        <v>17.902498952491392</v>
      </c>
      <c r="H38" s="46">
        <f>SUMIFS('Reference VO 2017'!$H$5:$H$34,'Reference VO 2017'!$B$5:$B$34,"Exit",'Reference VO 2017'!$D$5:$D$34,$B38,'Reference VO 2017'!$C$5:$C$34,H$6)</f>
        <v>265538.7</v>
      </c>
      <c r="I38" s="46">
        <f>SUMIFS('Reference VO 2017'!$H$5:$H$34,'Reference VO 2017'!$B$5:$B$34,"Exit",'Reference VO 2017'!$D$5:$D$34,$B38,'Reference VO 2017'!$C$5:$C$34,I$6)</f>
        <v>6468513.7799999993</v>
      </c>
      <c r="J38" s="51">
        <f t="shared" si="27"/>
        <v>0.71313770592425541</v>
      </c>
      <c r="K38" s="263">
        <f>'Reference VO 2017'!N21</f>
        <v>3.44</v>
      </c>
      <c r="L38" s="263">
        <f>'Reference VO 2017'!O21</f>
        <v>2.99</v>
      </c>
      <c r="M38" s="241"/>
      <c r="N38" s="51">
        <v>1</v>
      </c>
      <c r="O38" s="241">
        <f>N38*$J38*$C$73+VTPB_NICT!Q38</f>
        <v>3.1576674026384706</v>
      </c>
      <c r="P38" s="242">
        <f t="shared" si="52"/>
        <v>0</v>
      </c>
      <c r="Q38" s="241">
        <f t="shared" si="53"/>
        <v>3.1576674026384706</v>
      </c>
      <c r="R38" s="51">
        <f t="shared" si="28"/>
        <v>0.9</v>
      </c>
      <c r="S38" s="263">
        <f t="shared" si="29"/>
        <v>2.8419006623746235</v>
      </c>
      <c r="T38" s="242">
        <f t="shared" si="39"/>
        <v>0</v>
      </c>
      <c r="U38" s="241">
        <f t="shared" si="30"/>
        <v>2.8419006623746235</v>
      </c>
      <c r="V38" s="453">
        <f t="shared" si="50"/>
        <v>3.4858131401402588</v>
      </c>
      <c r="W38" s="454">
        <f t="shared" si="40"/>
        <v>3.1372318261262331</v>
      </c>
      <c r="X38" s="242">
        <f t="shared" si="31"/>
        <v>0</v>
      </c>
      <c r="Y38" s="242">
        <f t="shared" si="41"/>
        <v>0</v>
      </c>
      <c r="Z38" s="281">
        <f t="shared" si="32"/>
        <v>3.4858131401402588</v>
      </c>
      <c r="AA38" s="242">
        <f t="shared" si="33"/>
        <v>0</v>
      </c>
      <c r="AB38" s="242">
        <f t="shared" si="42"/>
        <v>0</v>
      </c>
      <c r="AC38" s="281">
        <f t="shared" si="43"/>
        <v>3.1372318261262331</v>
      </c>
      <c r="AD38" s="444">
        <f t="shared" si="54"/>
        <v>3.4858131401402588</v>
      </c>
      <c r="AE38" s="446">
        <f t="shared" si="47"/>
        <v>3.1372318261262331</v>
      </c>
      <c r="AF38" s="242">
        <f t="shared" si="34"/>
        <v>0</v>
      </c>
      <c r="AG38" s="242">
        <f t="shared" si="44"/>
        <v>0</v>
      </c>
      <c r="AH38" s="281">
        <f t="shared" si="35"/>
        <v>3.4858131401402588</v>
      </c>
      <c r="AI38" s="242">
        <f t="shared" si="48"/>
        <v>0</v>
      </c>
      <c r="AJ38" s="242">
        <f t="shared" si="45"/>
        <v>0</v>
      </c>
      <c r="AK38" s="281">
        <f t="shared" si="49"/>
        <v>3.1372318261262331</v>
      </c>
      <c r="AL38" s="444">
        <f t="shared" si="36"/>
        <v>3.4858131401402588</v>
      </c>
      <c r="AM38" s="446">
        <f t="shared" si="46"/>
        <v>3.1372318261262331</v>
      </c>
      <c r="AN38" s="282"/>
      <c r="AO38" s="278">
        <f>IFERROR(MAX(AL38-VTPB_NICT!Q38,0),0)</f>
        <v>2.7584827555580329</v>
      </c>
      <c r="AP38" s="278">
        <f>IFERROR(MAX(AM38-VTPB_NICT!R38,0),0)</f>
        <v>2.48263448000223</v>
      </c>
    </row>
    <row r="39" spans="1:42" ht="15" customHeight="1" x14ac:dyDescent="0.25">
      <c r="A39">
        <f t="shared" si="51"/>
        <v>8</v>
      </c>
      <c r="B39" s="60" t="s">
        <v>61</v>
      </c>
      <c r="C39" s="52" t="s">
        <v>82</v>
      </c>
      <c r="D39" s="83">
        <f>'Reference VO 2017'!L22</f>
        <v>2</v>
      </c>
      <c r="E39" s="84">
        <f>'Reference VO 2017'!M22</f>
        <v>7273500</v>
      </c>
      <c r="F39" s="241">
        <f t="shared" si="37"/>
        <v>5.3123142292259319E-2</v>
      </c>
      <c r="G39" s="241">
        <f t="shared" si="38"/>
        <v>0.10624628458451864</v>
      </c>
      <c r="H39" s="46">
        <f>SUMIFS('Reference VO 2017'!$H$5:$H$34,'Reference VO 2017'!$B$5:$B$34,"Exit",'Reference VO 2017'!$D$5:$D$34,$B39,'Reference VO 2017'!$C$5:$C$34,H$6)</f>
        <v>5749393</v>
      </c>
      <c r="I39" s="46">
        <f>SUMIFS('Reference VO 2017'!$H$5:$H$34,'Reference VO 2017'!$B$5:$B$34,"Exit",'Reference VO 2017'!$D$5:$D$34,$B39,'Reference VO 2017'!$C$5:$C$34,I$6)</f>
        <v>0</v>
      </c>
      <c r="J39" s="51">
        <f t="shared" si="27"/>
        <v>0.17520734590906595</v>
      </c>
      <c r="K39" s="263">
        <f>'Reference VO 2017'!N22</f>
        <v>0.4</v>
      </c>
      <c r="L39" s="263">
        <f>'Reference VO 2017'!O22</f>
        <v>0</v>
      </c>
      <c r="M39" s="241"/>
      <c r="N39" s="51">
        <f>1-discount_storage_exit</f>
        <v>0.5</v>
      </c>
      <c r="O39" s="241">
        <f>N39*$J39*$C$73+VTPB_NICT!Q39</f>
        <v>0.38789599840526623</v>
      </c>
      <c r="P39" s="242">
        <f t="shared" si="52"/>
        <v>0</v>
      </c>
      <c r="Q39" s="241">
        <f t="shared" si="53"/>
        <v>0.38789599840526623</v>
      </c>
      <c r="R39" s="51">
        <f t="shared" si="28"/>
        <v>0.9</v>
      </c>
      <c r="S39" s="263">
        <f t="shared" si="29"/>
        <v>0.34910639856473963</v>
      </c>
      <c r="T39" s="242">
        <f t="shared" si="39"/>
        <v>0</v>
      </c>
      <c r="U39" s="241">
        <f t="shared" si="30"/>
        <v>0.34910639856473963</v>
      </c>
      <c r="V39" s="453">
        <f t="shared" si="50"/>
        <v>0.42820626615681318</v>
      </c>
      <c r="W39" s="454">
        <f t="shared" si="40"/>
        <v>0.38538563954113186</v>
      </c>
      <c r="X39" s="242">
        <f t="shared" si="31"/>
        <v>0</v>
      </c>
      <c r="Y39" s="242">
        <f t="shared" si="41"/>
        <v>0</v>
      </c>
      <c r="Z39" s="281">
        <f t="shared" si="32"/>
        <v>0.42820626615681318</v>
      </c>
      <c r="AA39" s="242">
        <f t="shared" si="33"/>
        <v>0</v>
      </c>
      <c r="AB39" s="242">
        <f t="shared" si="42"/>
        <v>0</v>
      </c>
      <c r="AC39" s="281">
        <f t="shared" si="43"/>
        <v>0.38538563954113186</v>
      </c>
      <c r="AD39" s="444">
        <f t="shared" si="54"/>
        <v>0.42820626615681318</v>
      </c>
      <c r="AE39" s="446">
        <f t="shared" si="47"/>
        <v>0.38538563954113186</v>
      </c>
      <c r="AF39" s="242">
        <f t="shared" si="34"/>
        <v>0</v>
      </c>
      <c r="AG39" s="242">
        <f t="shared" si="44"/>
        <v>0</v>
      </c>
      <c r="AH39" s="281">
        <f t="shared" si="35"/>
        <v>0.42820626615681318</v>
      </c>
      <c r="AI39" s="242">
        <f t="shared" si="48"/>
        <v>0</v>
      </c>
      <c r="AJ39" s="242">
        <f t="shared" si="45"/>
        <v>0</v>
      </c>
      <c r="AK39" s="281">
        <f t="shared" si="49"/>
        <v>0.38538563954113186</v>
      </c>
      <c r="AL39" s="444">
        <f t="shared" si="36"/>
        <v>0.42820626615681318</v>
      </c>
      <c r="AM39" s="446">
        <f t="shared" si="46"/>
        <v>0.38538563954113186</v>
      </c>
      <c r="AN39" s="282"/>
      <c r="AO39" s="278">
        <f>IFERROR(MAX(AL39-VTPB_NICT!Q39,0),0)</f>
        <v>0.33885912799328494</v>
      </c>
      <c r="AP39" s="278">
        <f>IFERROR(MAX(AM39-VTPB_NICT!R39,0),0)</f>
        <v>0.30497321519395648</v>
      </c>
    </row>
    <row r="40" spans="1:42" ht="14.45" customHeight="1" x14ac:dyDescent="0.25">
      <c r="A40">
        <f t="shared" si="51"/>
        <v>9</v>
      </c>
      <c r="B40" t="s">
        <v>125</v>
      </c>
      <c r="C40" s="52" t="s">
        <v>82</v>
      </c>
      <c r="D40" s="83">
        <f>'Reference VO 2017'!L23</f>
        <v>334</v>
      </c>
      <c r="E40" s="84">
        <f>'Reference VO 2017'!M23</f>
        <v>1765899.9999999998</v>
      </c>
      <c r="F40" s="241">
        <f t="shared" si="37"/>
        <v>1.2897526221750288E-2</v>
      </c>
      <c r="G40" s="241">
        <f t="shared" si="38"/>
        <v>4.3077737580645961</v>
      </c>
      <c r="H40" s="46">
        <f>SUMIFS('Reference VO 2017'!$H$5:$H$34,'Reference VO 2017'!$B$5:$B$34,"Exit",'Reference VO 2017'!$D$5:$D$34,$B40,'Reference VO 2017'!$C$5:$C$34,H$6)</f>
        <v>2950825</v>
      </c>
      <c r="I40" s="46">
        <f>SUMIFS('Reference VO 2017'!$H$5:$H$34,'Reference VO 2017'!$B$5:$B$34,"Exit",'Reference VO 2017'!$D$5:$D$34,$B40,'Reference VO 2017'!$C$5:$C$34,I$6)</f>
        <v>0</v>
      </c>
      <c r="J40" s="51">
        <f t="shared" si="27"/>
        <v>0.17520734590906595</v>
      </c>
      <c r="K40" s="263">
        <f>'Reference VO 2017'!N23</f>
        <v>0.4</v>
      </c>
      <c r="L40" s="263">
        <f>'Reference VO 2017'!O23</f>
        <v>0</v>
      </c>
      <c r="M40" s="241"/>
      <c r="N40" s="51">
        <f>1-discount_storage_exit</f>
        <v>0.5</v>
      </c>
      <c r="O40" s="241">
        <f>N40*$J40*$C$73+VTPB_NICT!Q40</f>
        <v>0.38789599840526623</v>
      </c>
      <c r="P40" s="242">
        <f t="shared" si="52"/>
        <v>0</v>
      </c>
      <c r="Q40" s="241">
        <f t="shared" si="53"/>
        <v>0.38789599840526623</v>
      </c>
      <c r="R40" s="51">
        <f t="shared" si="28"/>
        <v>0.9</v>
      </c>
      <c r="S40" s="263">
        <f t="shared" si="29"/>
        <v>0.34910639856473963</v>
      </c>
      <c r="T40" s="242">
        <f t="shared" si="39"/>
        <v>0</v>
      </c>
      <c r="U40" s="241">
        <f t="shared" si="30"/>
        <v>0.34910639856473963</v>
      </c>
      <c r="V40" s="453">
        <f t="shared" si="50"/>
        <v>0.42820626615681318</v>
      </c>
      <c r="W40" s="454">
        <f t="shared" si="40"/>
        <v>0.38538563954113186</v>
      </c>
      <c r="X40" s="242">
        <f t="shared" si="31"/>
        <v>0</v>
      </c>
      <c r="Y40" s="242">
        <f t="shared" si="41"/>
        <v>0</v>
      </c>
      <c r="Z40" s="281">
        <f t="shared" si="32"/>
        <v>0.42820626615681318</v>
      </c>
      <c r="AA40" s="242">
        <f t="shared" si="33"/>
        <v>0</v>
      </c>
      <c r="AB40" s="242">
        <f t="shared" si="42"/>
        <v>0</v>
      </c>
      <c r="AC40" s="281">
        <f t="shared" si="43"/>
        <v>0.38538563954113186</v>
      </c>
      <c r="AD40" s="444">
        <f t="shared" si="54"/>
        <v>0.42820626615681318</v>
      </c>
      <c r="AE40" s="446">
        <f t="shared" si="47"/>
        <v>0.38538563954113186</v>
      </c>
      <c r="AF40" s="242">
        <f t="shared" si="34"/>
        <v>0</v>
      </c>
      <c r="AG40" s="242">
        <f t="shared" si="44"/>
        <v>0</v>
      </c>
      <c r="AH40" s="281">
        <f t="shared" si="35"/>
        <v>0.42820626615681318</v>
      </c>
      <c r="AI40" s="242">
        <f t="shared" si="48"/>
        <v>0</v>
      </c>
      <c r="AJ40" s="242">
        <f t="shared" si="45"/>
        <v>0</v>
      </c>
      <c r="AK40" s="281">
        <f t="shared" si="49"/>
        <v>0.38538563954113186</v>
      </c>
      <c r="AL40" s="444">
        <f t="shared" si="36"/>
        <v>0.42820626615681318</v>
      </c>
      <c r="AM40" s="446">
        <f t="shared" si="46"/>
        <v>0.38538563954113186</v>
      </c>
      <c r="AN40" s="282"/>
      <c r="AO40" s="278">
        <f>IFERROR(MAX(AL40-VTPB_NICT!Q40,0),0)</f>
        <v>0.33885912799328494</v>
      </c>
      <c r="AP40" s="278">
        <f>IFERROR(MAX(AM40-VTPB_NICT!R40,0),0)</f>
        <v>0.30497321519395648</v>
      </c>
    </row>
    <row r="41" spans="1:42" x14ac:dyDescent="0.25">
      <c r="A41">
        <f t="shared" si="51"/>
        <v>10</v>
      </c>
      <c r="B41" s="54" t="s">
        <v>97</v>
      </c>
      <c r="C41" s="54" t="s">
        <v>80</v>
      </c>
      <c r="D41" s="83">
        <f>'Reference VO 2017'!L24</f>
        <v>24</v>
      </c>
      <c r="E41" s="84">
        <f>'Reference VO 2017'!M24</f>
        <v>4635629</v>
      </c>
      <c r="F41" s="241">
        <f t="shared" si="37"/>
        <v>3.385703979942583E-2</v>
      </c>
      <c r="G41" s="241">
        <f t="shared" si="38"/>
        <v>0.81256895518621985</v>
      </c>
      <c r="H41" s="84">
        <f>'Reference VO 2017'!P24</f>
        <v>0</v>
      </c>
      <c r="I41" s="84">
        <f>'Reference VO 2017'!Q24</f>
        <v>4635629</v>
      </c>
      <c r="J41" s="51">
        <f t="shared" si="27"/>
        <v>9.5928218457106376E-2</v>
      </c>
      <c r="K41" s="263">
        <f>'Reference VO 2017'!N24</f>
        <v>0.53</v>
      </c>
      <c r="L41" s="263">
        <f>'Reference VO 2017'!O24</f>
        <v>0.48</v>
      </c>
      <c r="M41" s="241"/>
      <c r="N41" s="51">
        <v>1</v>
      </c>
      <c r="O41" s="241">
        <f>N41*$J41*$C$73+VTPB_NICT!Q41</f>
        <v>0.42475584434650526</v>
      </c>
      <c r="P41" s="242">
        <f t="shared" si="52"/>
        <v>0</v>
      </c>
      <c r="Q41" s="241">
        <f t="shared" si="53"/>
        <v>0.42475584434650526</v>
      </c>
      <c r="R41" s="51">
        <f t="shared" si="28"/>
        <v>0.9</v>
      </c>
      <c r="S41" s="263">
        <f t="shared" si="29"/>
        <v>0.38228025991185477</v>
      </c>
      <c r="T41" s="242">
        <f t="shared" si="39"/>
        <v>0</v>
      </c>
      <c r="U41" s="241">
        <f>Q41*(1-discount_DZK)</f>
        <v>0.38228025991185477</v>
      </c>
      <c r="V41" s="453">
        <f t="shared" si="50"/>
        <v>0.46889659827290503</v>
      </c>
      <c r="W41" s="454">
        <f t="shared" si="40"/>
        <v>0.42200693844561454</v>
      </c>
      <c r="X41" s="242">
        <f t="shared" si="31"/>
        <v>0</v>
      </c>
      <c r="Y41" s="242">
        <f t="shared" si="41"/>
        <v>0</v>
      </c>
      <c r="Z41" s="281">
        <f t="shared" si="32"/>
        <v>0.46889659827290503</v>
      </c>
      <c r="AA41" s="242">
        <f t="shared" si="33"/>
        <v>0</v>
      </c>
      <c r="AB41" s="242">
        <f t="shared" si="42"/>
        <v>0</v>
      </c>
      <c r="AC41" s="281">
        <f t="shared" si="43"/>
        <v>0.42200693844561454</v>
      </c>
      <c r="AD41" s="444">
        <f t="shared" si="54"/>
        <v>0.46889659827290503</v>
      </c>
      <c r="AE41" s="446">
        <f t="shared" si="47"/>
        <v>0.42200693844561454</v>
      </c>
      <c r="AF41" s="242">
        <f t="shared" si="34"/>
        <v>0</v>
      </c>
      <c r="AG41" s="242">
        <f t="shared" si="44"/>
        <v>0</v>
      </c>
      <c r="AH41" s="281">
        <f t="shared" si="35"/>
        <v>0.46889659827290503</v>
      </c>
      <c r="AI41" s="242">
        <f t="shared" si="48"/>
        <v>0</v>
      </c>
      <c r="AJ41" s="242">
        <f t="shared" si="45"/>
        <v>0</v>
      </c>
      <c r="AK41" s="281">
        <f t="shared" si="49"/>
        <v>0.42200693844561454</v>
      </c>
      <c r="AL41" s="444">
        <f t="shared" si="36"/>
        <v>0.46889659827290503</v>
      </c>
      <c r="AM41" s="446">
        <f t="shared" si="46"/>
        <v>0.42200693844561454</v>
      </c>
      <c r="AN41" s="282"/>
      <c r="AO41" s="278">
        <f>IFERROR(MAX(AL41-VTPB_NICT!Q41,0),0)</f>
        <v>0.37105924169635401</v>
      </c>
      <c r="AP41" s="278">
        <f>IFERROR(MAX(AM41-VTPB_NICT!R41,0),0)</f>
        <v>0.33395331752671864</v>
      </c>
    </row>
    <row r="42" spans="1:42" x14ac:dyDescent="0.25">
      <c r="A42">
        <f t="shared" si="51"/>
        <v>11</v>
      </c>
      <c r="B42" s="54" t="s">
        <v>98</v>
      </c>
      <c r="C42" s="54" t="s">
        <v>80</v>
      </c>
      <c r="D42" s="83">
        <f>'Reference VO 2017'!L25</f>
        <v>78</v>
      </c>
      <c r="E42" s="84">
        <f>'Reference VO 2017'!M25</f>
        <v>0</v>
      </c>
      <c r="F42" s="241">
        <f t="shared" si="37"/>
        <v>0</v>
      </c>
      <c r="G42" s="241">
        <f t="shared" si="38"/>
        <v>0</v>
      </c>
      <c r="H42" s="84">
        <f>'Reference VO 2017'!P25</f>
        <v>0</v>
      </c>
      <c r="I42" s="84">
        <f>'Reference VO 2017'!Q25</f>
        <v>0</v>
      </c>
      <c r="J42" s="51">
        <f t="shared" si="27"/>
        <v>9.5928218457106376E-2</v>
      </c>
      <c r="K42" s="263">
        <f>'Reference VO 2017'!N25</f>
        <v>0.53</v>
      </c>
      <c r="L42" s="263">
        <f>'Reference VO 2017'!O25</f>
        <v>0</v>
      </c>
      <c r="M42" s="241"/>
      <c r="N42" s="51">
        <v>1</v>
      </c>
      <c r="O42" s="241">
        <f>N42*$J42*$C$73+VTPB_NICT!Q42</f>
        <v>0.42475584434650526</v>
      </c>
      <c r="P42" s="242">
        <f t="shared" si="52"/>
        <v>0</v>
      </c>
      <c r="Q42" s="241">
        <f t="shared" si="53"/>
        <v>0.42475584434650526</v>
      </c>
      <c r="R42" s="51">
        <f t="shared" si="28"/>
        <v>0.9</v>
      </c>
      <c r="S42" s="263">
        <f t="shared" si="29"/>
        <v>0.38228025991185477</v>
      </c>
      <c r="T42" s="242">
        <f t="shared" si="39"/>
        <v>0</v>
      </c>
      <c r="U42" s="241">
        <f t="shared" si="30"/>
        <v>0.38228025991185477</v>
      </c>
      <c r="V42" s="453">
        <f t="shared" si="50"/>
        <v>0.46889659827290503</v>
      </c>
      <c r="W42" s="454">
        <f t="shared" si="40"/>
        <v>0.42200693844561454</v>
      </c>
      <c r="X42" s="242">
        <f t="shared" si="31"/>
        <v>0</v>
      </c>
      <c r="Y42" s="242">
        <f t="shared" si="41"/>
        <v>0</v>
      </c>
      <c r="Z42" s="281">
        <f t="shared" si="32"/>
        <v>0.46889659827290503</v>
      </c>
      <c r="AA42" s="242">
        <f t="shared" si="33"/>
        <v>0</v>
      </c>
      <c r="AB42" s="242">
        <f t="shared" si="42"/>
        <v>0</v>
      </c>
      <c r="AC42" s="281">
        <f t="shared" si="43"/>
        <v>0.42200693844561454</v>
      </c>
      <c r="AD42" s="444">
        <f t="shared" si="54"/>
        <v>0.46889659827290503</v>
      </c>
      <c r="AE42" s="446">
        <f t="shared" si="47"/>
        <v>0.42200693844561454</v>
      </c>
      <c r="AF42" s="242">
        <f t="shared" si="34"/>
        <v>0</v>
      </c>
      <c r="AG42" s="242">
        <f t="shared" si="44"/>
        <v>0</v>
      </c>
      <c r="AH42" s="281">
        <f t="shared" si="35"/>
        <v>0.46889659827290503</v>
      </c>
      <c r="AI42" s="242">
        <f t="shared" si="48"/>
        <v>0</v>
      </c>
      <c r="AJ42" s="242">
        <f t="shared" si="45"/>
        <v>0</v>
      </c>
      <c r="AK42" s="281">
        <f t="shared" si="49"/>
        <v>0.42200693844561454</v>
      </c>
      <c r="AL42" s="444">
        <f t="shared" si="36"/>
        <v>0.46889659827290503</v>
      </c>
      <c r="AM42" s="446">
        <f t="shared" si="46"/>
        <v>0.42200693844561454</v>
      </c>
      <c r="AN42" s="282"/>
      <c r="AO42" s="278">
        <f>IFERROR(MAX(AL42-VTPB_NICT!Q42,0),0)</f>
        <v>0.37105924169635401</v>
      </c>
      <c r="AP42" s="278">
        <f>IFERROR(MAX(AM42-VTPB_NICT!R42,0),0)</f>
        <v>0.33395331752671864</v>
      </c>
    </row>
    <row r="43" spans="1:42" x14ac:dyDescent="0.25">
      <c r="A43">
        <f t="shared" si="51"/>
        <v>12</v>
      </c>
      <c r="B43" s="54" t="s">
        <v>99</v>
      </c>
      <c r="C43" s="54" t="s">
        <v>80</v>
      </c>
      <c r="D43" s="83">
        <f>'Reference VO 2017'!L26</f>
        <v>133</v>
      </c>
      <c r="E43" s="84">
        <f>'Reference VO 2017'!M26</f>
        <v>0</v>
      </c>
      <c r="F43" s="241">
        <f t="shared" si="37"/>
        <v>0</v>
      </c>
      <c r="G43" s="241">
        <f t="shared" si="38"/>
        <v>0</v>
      </c>
      <c r="H43" s="84">
        <f>'Reference VO 2017'!P26</f>
        <v>0</v>
      </c>
      <c r="I43" s="84">
        <f>'Reference VO 2017'!Q26</f>
        <v>0</v>
      </c>
      <c r="J43" s="51">
        <f t="shared" si="27"/>
        <v>9.5928218457106376E-2</v>
      </c>
      <c r="K43" s="263">
        <f>'Reference VO 2017'!N26</f>
        <v>0.53</v>
      </c>
      <c r="L43" s="263">
        <f>'Reference VO 2017'!O26</f>
        <v>0</v>
      </c>
      <c r="M43" s="241"/>
      <c r="N43" s="51">
        <v>1</v>
      </c>
      <c r="O43" s="241">
        <f>N43*$J43*$C$73+VTPB_NICT!Q43</f>
        <v>0.42475584434650526</v>
      </c>
      <c r="P43" s="242">
        <f t="shared" si="52"/>
        <v>0</v>
      </c>
      <c r="Q43" s="241">
        <f t="shared" si="53"/>
        <v>0.42475584434650526</v>
      </c>
      <c r="R43" s="51">
        <f t="shared" si="28"/>
        <v>0.9</v>
      </c>
      <c r="S43" s="263">
        <f t="shared" si="29"/>
        <v>0.38228025991185477</v>
      </c>
      <c r="T43" s="242">
        <f t="shared" si="39"/>
        <v>0</v>
      </c>
      <c r="U43" s="241">
        <f t="shared" si="30"/>
        <v>0.38228025991185477</v>
      </c>
      <c r="V43" s="453">
        <f t="shared" si="50"/>
        <v>0.46889659827290503</v>
      </c>
      <c r="W43" s="454">
        <f t="shared" si="40"/>
        <v>0.42200693844561454</v>
      </c>
      <c r="X43" s="242">
        <f t="shared" si="31"/>
        <v>0</v>
      </c>
      <c r="Y43" s="242">
        <f t="shared" si="41"/>
        <v>0</v>
      </c>
      <c r="Z43" s="281">
        <f t="shared" si="32"/>
        <v>0.46889659827290503</v>
      </c>
      <c r="AA43" s="242">
        <f t="shared" si="33"/>
        <v>0</v>
      </c>
      <c r="AB43" s="242">
        <f t="shared" si="42"/>
        <v>0</v>
      </c>
      <c r="AC43" s="281">
        <f t="shared" si="43"/>
        <v>0.42200693844561454</v>
      </c>
      <c r="AD43" s="444">
        <f t="shared" si="54"/>
        <v>0.46889659827290503</v>
      </c>
      <c r="AE43" s="446">
        <f t="shared" si="47"/>
        <v>0.42200693844561454</v>
      </c>
      <c r="AF43" s="242">
        <f t="shared" si="34"/>
        <v>0</v>
      </c>
      <c r="AG43" s="242">
        <f t="shared" si="44"/>
        <v>0</v>
      </c>
      <c r="AH43" s="281">
        <f t="shared" si="35"/>
        <v>0.46889659827290503</v>
      </c>
      <c r="AI43" s="242">
        <f t="shared" si="48"/>
        <v>0</v>
      </c>
      <c r="AJ43" s="242">
        <f t="shared" si="45"/>
        <v>0</v>
      </c>
      <c r="AK43" s="281">
        <f t="shared" si="49"/>
        <v>0.42200693844561454</v>
      </c>
      <c r="AL43" s="444">
        <f t="shared" si="36"/>
        <v>0.46889659827290503</v>
      </c>
      <c r="AM43" s="446">
        <f t="shared" si="46"/>
        <v>0.42200693844561454</v>
      </c>
      <c r="AN43" s="282"/>
      <c r="AO43" s="278">
        <f>IFERROR(MAX(AL43-VTPB_NICT!Q43,0),0)</f>
        <v>0.37105924169635401</v>
      </c>
      <c r="AP43" s="278">
        <f>IFERROR(MAX(AM43-VTPB_NICT!R43,0),0)</f>
        <v>0.33395331752671864</v>
      </c>
    </row>
    <row r="44" spans="1:42" x14ac:dyDescent="0.25">
      <c r="A44">
        <f t="shared" si="51"/>
        <v>13</v>
      </c>
      <c r="B44" s="54" t="s">
        <v>100</v>
      </c>
      <c r="C44" s="54" t="s">
        <v>80</v>
      </c>
      <c r="D44" s="83">
        <f>'Reference VO 2017'!L27</f>
        <v>185</v>
      </c>
      <c r="E44" s="84">
        <f>'Reference VO 2017'!M27</f>
        <v>0</v>
      </c>
      <c r="F44" s="241">
        <f t="shared" si="37"/>
        <v>0</v>
      </c>
      <c r="G44" s="241">
        <f t="shared" si="38"/>
        <v>0</v>
      </c>
      <c r="H44" s="84">
        <f>'Reference VO 2017'!P27</f>
        <v>0</v>
      </c>
      <c r="I44" s="84">
        <f>'Reference VO 2017'!Q27</f>
        <v>0</v>
      </c>
      <c r="J44" s="51">
        <f t="shared" si="27"/>
        <v>9.5928218457106376E-2</v>
      </c>
      <c r="K44" s="263">
        <f>'Reference VO 2017'!N27</f>
        <v>0.53</v>
      </c>
      <c r="L44" s="263">
        <f>'Reference VO 2017'!O27</f>
        <v>0</v>
      </c>
      <c r="M44" s="241"/>
      <c r="N44" s="51">
        <v>1</v>
      </c>
      <c r="O44" s="241">
        <f>N44*$J44*$C$73+VTPB_NICT!Q44</f>
        <v>0.42475584434650526</v>
      </c>
      <c r="P44" s="242">
        <f t="shared" si="52"/>
        <v>0</v>
      </c>
      <c r="Q44" s="241">
        <f t="shared" si="53"/>
        <v>0.42475584434650526</v>
      </c>
      <c r="R44" s="51">
        <f t="shared" si="28"/>
        <v>0.9</v>
      </c>
      <c r="S44" s="263">
        <f t="shared" si="29"/>
        <v>0.38228025991185477</v>
      </c>
      <c r="T44" s="242">
        <f t="shared" si="39"/>
        <v>0</v>
      </c>
      <c r="U44" s="241">
        <f t="shared" si="30"/>
        <v>0.38228025991185477</v>
      </c>
      <c r="V44" s="453">
        <f t="shared" si="50"/>
        <v>0.46889659827290503</v>
      </c>
      <c r="W44" s="454">
        <f t="shared" si="40"/>
        <v>0.42200693844561454</v>
      </c>
      <c r="X44" s="242">
        <f t="shared" si="31"/>
        <v>0</v>
      </c>
      <c r="Y44" s="242">
        <f t="shared" si="41"/>
        <v>0</v>
      </c>
      <c r="Z44" s="281">
        <f t="shared" si="32"/>
        <v>0.46889659827290503</v>
      </c>
      <c r="AA44" s="242">
        <f t="shared" si="33"/>
        <v>0</v>
      </c>
      <c r="AB44" s="242">
        <f t="shared" si="42"/>
        <v>0</v>
      </c>
      <c r="AC44" s="281">
        <f t="shared" si="43"/>
        <v>0.42200693844561454</v>
      </c>
      <c r="AD44" s="444">
        <f t="shared" si="54"/>
        <v>0.46889659827290503</v>
      </c>
      <c r="AE44" s="446">
        <f t="shared" si="47"/>
        <v>0.42200693844561454</v>
      </c>
      <c r="AF44" s="242">
        <f t="shared" si="34"/>
        <v>0</v>
      </c>
      <c r="AG44" s="242">
        <f t="shared" si="44"/>
        <v>0</v>
      </c>
      <c r="AH44" s="281">
        <f t="shared" si="35"/>
        <v>0.46889659827290503</v>
      </c>
      <c r="AI44" s="242">
        <f t="shared" si="48"/>
        <v>0</v>
      </c>
      <c r="AJ44" s="242">
        <f t="shared" si="45"/>
        <v>0</v>
      </c>
      <c r="AK44" s="281">
        <f t="shared" si="49"/>
        <v>0.42200693844561454</v>
      </c>
      <c r="AL44" s="444">
        <f t="shared" si="36"/>
        <v>0.46889659827290503</v>
      </c>
      <c r="AM44" s="446">
        <f t="shared" si="46"/>
        <v>0.42200693844561454</v>
      </c>
      <c r="AN44" s="282"/>
      <c r="AO44" s="278">
        <f>IFERROR(MAX(AL44-VTPB_NICT!Q44,0),0)</f>
        <v>0.37105924169635401</v>
      </c>
      <c r="AP44" s="278">
        <f>IFERROR(MAX(AM44-VTPB_NICT!R44,0),0)</f>
        <v>0.33395331752671864</v>
      </c>
    </row>
    <row r="45" spans="1:42" x14ac:dyDescent="0.25">
      <c r="A45">
        <f t="shared" si="51"/>
        <v>14</v>
      </c>
      <c r="B45" s="54" t="s">
        <v>101</v>
      </c>
      <c r="C45" s="54" t="s">
        <v>80</v>
      </c>
      <c r="D45" s="83">
        <f>'Reference VO 2017'!L28</f>
        <v>202</v>
      </c>
      <c r="E45" s="84">
        <f>'Reference VO 2017'!M28</f>
        <v>2378658</v>
      </c>
      <c r="F45" s="241">
        <f t="shared" si="37"/>
        <v>1.7372899896696357E-2</v>
      </c>
      <c r="G45" s="241">
        <f t="shared" si="38"/>
        <v>3.5093257791326642</v>
      </c>
      <c r="H45" s="84">
        <f>'Reference VO 2017'!P28</f>
        <v>0</v>
      </c>
      <c r="I45" s="84">
        <f>'Reference VO 2017'!Q28</f>
        <v>2378663</v>
      </c>
      <c r="J45" s="51">
        <f t="shared" si="27"/>
        <v>9.5928218457106376E-2</v>
      </c>
      <c r="K45" s="263">
        <f>'Reference VO 2017'!N28</f>
        <v>0.53</v>
      </c>
      <c r="L45" s="263">
        <f>'Reference VO 2017'!O28</f>
        <v>0.48</v>
      </c>
      <c r="M45" s="241"/>
      <c r="N45" s="51">
        <v>1</v>
      </c>
      <c r="O45" s="241">
        <f>N45*$J45*$C$73+VTPB_NICT!Q45</f>
        <v>0.42475584434650526</v>
      </c>
      <c r="P45" s="242">
        <f t="shared" si="52"/>
        <v>0</v>
      </c>
      <c r="Q45" s="241">
        <f t="shared" si="53"/>
        <v>0.42475584434650526</v>
      </c>
      <c r="R45" s="51">
        <f t="shared" si="28"/>
        <v>0.9</v>
      </c>
      <c r="S45" s="263">
        <f t="shared" si="29"/>
        <v>0.38228025991185477</v>
      </c>
      <c r="T45" s="242">
        <f t="shared" si="39"/>
        <v>0</v>
      </c>
      <c r="U45" s="241">
        <f t="shared" si="30"/>
        <v>0.38228025991185477</v>
      </c>
      <c r="V45" s="453">
        <f t="shared" si="50"/>
        <v>0.46889659827290503</v>
      </c>
      <c r="W45" s="454">
        <f t="shared" si="40"/>
        <v>0.42200693844561454</v>
      </c>
      <c r="X45" s="242">
        <f t="shared" si="31"/>
        <v>0</v>
      </c>
      <c r="Y45" s="242">
        <f t="shared" si="41"/>
        <v>0</v>
      </c>
      <c r="Z45" s="281">
        <f t="shared" si="32"/>
        <v>0.46889659827290503</v>
      </c>
      <c r="AA45" s="242">
        <f t="shared" si="33"/>
        <v>0</v>
      </c>
      <c r="AB45" s="242">
        <f t="shared" si="42"/>
        <v>0</v>
      </c>
      <c r="AC45" s="281">
        <f t="shared" si="43"/>
        <v>0.42200693844561454</v>
      </c>
      <c r="AD45" s="444">
        <f t="shared" si="54"/>
        <v>0.46889659827290503</v>
      </c>
      <c r="AE45" s="446">
        <f t="shared" si="47"/>
        <v>0.42200693844561454</v>
      </c>
      <c r="AF45" s="242">
        <f t="shared" si="34"/>
        <v>0</v>
      </c>
      <c r="AG45" s="242">
        <f t="shared" si="44"/>
        <v>0</v>
      </c>
      <c r="AH45" s="281">
        <f t="shared" si="35"/>
        <v>0.46889659827290503</v>
      </c>
      <c r="AI45" s="242">
        <f t="shared" si="48"/>
        <v>0</v>
      </c>
      <c r="AJ45" s="242">
        <f t="shared" si="45"/>
        <v>0</v>
      </c>
      <c r="AK45" s="281">
        <f t="shared" si="49"/>
        <v>0.42200693844561454</v>
      </c>
      <c r="AL45" s="444">
        <f t="shared" si="36"/>
        <v>0.46889659827290503</v>
      </c>
      <c r="AM45" s="446">
        <f t="shared" si="46"/>
        <v>0.42200693844561454</v>
      </c>
      <c r="AN45" s="282"/>
      <c r="AO45" s="278">
        <f>IFERROR(MAX(AL45-VTPB_NICT!Q45,0),0)</f>
        <v>0.37105924169635401</v>
      </c>
      <c r="AP45" s="278">
        <f>IFERROR(MAX(AM45-VTPB_NICT!R45,0),0)</f>
        <v>0.33395331752671864</v>
      </c>
    </row>
    <row r="46" spans="1:42" x14ac:dyDescent="0.25">
      <c r="A46">
        <f t="shared" si="51"/>
        <v>15</v>
      </c>
      <c r="B46" s="60" t="s">
        <v>102</v>
      </c>
      <c r="C46" s="54" t="s">
        <v>80</v>
      </c>
      <c r="D46" s="83">
        <f>'Reference VO 2017'!L29</f>
        <v>222</v>
      </c>
      <c r="E46" s="84">
        <f>'Reference VO 2017'!M29</f>
        <v>0</v>
      </c>
      <c r="F46" s="241">
        <f t="shared" si="37"/>
        <v>0</v>
      </c>
      <c r="G46" s="241">
        <f t="shared" si="38"/>
        <v>0</v>
      </c>
      <c r="H46" s="84">
        <f>'Reference VO 2017'!P29</f>
        <v>0</v>
      </c>
      <c r="I46" s="84">
        <f>'Reference VO 2017'!Q29</f>
        <v>0</v>
      </c>
      <c r="J46" s="51">
        <f t="shared" si="27"/>
        <v>9.5928218457106376E-2</v>
      </c>
      <c r="K46" s="263">
        <f>'Reference VO 2017'!N29</f>
        <v>0.53</v>
      </c>
      <c r="L46" s="263">
        <f>'Reference VO 2017'!O29</f>
        <v>0</v>
      </c>
      <c r="M46" s="52"/>
      <c r="N46" s="51">
        <v>1</v>
      </c>
      <c r="O46" s="241">
        <f>N46*$J46*$C$73+VTPB_NICT!Q46</f>
        <v>0.42475584434650526</v>
      </c>
      <c r="P46" s="242">
        <f t="shared" si="52"/>
        <v>0</v>
      </c>
      <c r="Q46" s="241">
        <f t="shared" si="53"/>
        <v>0.42475584434650526</v>
      </c>
      <c r="R46" s="51">
        <f t="shared" si="28"/>
        <v>0.9</v>
      </c>
      <c r="S46" s="263">
        <f t="shared" si="29"/>
        <v>0.38228025991185477</v>
      </c>
      <c r="T46" s="242">
        <f t="shared" si="39"/>
        <v>0</v>
      </c>
      <c r="U46" s="241">
        <f t="shared" si="30"/>
        <v>0.38228025991185477</v>
      </c>
      <c r="V46" s="453">
        <f t="shared" si="50"/>
        <v>0.46889659827290503</v>
      </c>
      <c r="W46" s="454">
        <f t="shared" si="40"/>
        <v>0.42200693844561454</v>
      </c>
      <c r="X46" s="242">
        <f t="shared" si="31"/>
        <v>0</v>
      </c>
      <c r="Y46" s="242">
        <f t="shared" si="41"/>
        <v>0</v>
      </c>
      <c r="Z46" s="281">
        <f t="shared" si="32"/>
        <v>0.46889659827290503</v>
      </c>
      <c r="AA46" s="242">
        <f t="shared" si="33"/>
        <v>0</v>
      </c>
      <c r="AB46" s="242">
        <f t="shared" si="42"/>
        <v>0</v>
      </c>
      <c r="AC46" s="281">
        <f t="shared" si="43"/>
        <v>0.42200693844561454</v>
      </c>
      <c r="AD46" s="444">
        <f t="shared" si="54"/>
        <v>0.46889659827290503</v>
      </c>
      <c r="AE46" s="446">
        <f t="shared" si="47"/>
        <v>0.42200693844561454</v>
      </c>
      <c r="AF46" s="242">
        <f t="shared" si="34"/>
        <v>0</v>
      </c>
      <c r="AG46" s="242">
        <f t="shared" si="44"/>
        <v>0</v>
      </c>
      <c r="AH46" s="281">
        <f t="shared" si="35"/>
        <v>0.46889659827290503</v>
      </c>
      <c r="AI46" s="242">
        <f t="shared" si="48"/>
        <v>0</v>
      </c>
      <c r="AJ46" s="242">
        <f t="shared" si="45"/>
        <v>0</v>
      </c>
      <c r="AK46" s="281">
        <f t="shared" si="49"/>
        <v>0.42200693844561454</v>
      </c>
      <c r="AL46" s="444">
        <f t="shared" si="36"/>
        <v>0.46889659827290503</v>
      </c>
      <c r="AM46" s="446">
        <f t="shared" si="46"/>
        <v>0.42200693844561454</v>
      </c>
      <c r="AN46" s="282"/>
      <c r="AO46" s="278">
        <f>IFERROR(MAX(AL46-VTPB_NICT!Q46,0),0)</f>
        <v>0.37105924169635401</v>
      </c>
      <c r="AP46" s="278">
        <f>IFERROR(MAX(AM46-VTPB_NICT!R46,0),0)</f>
        <v>0.33395331752671864</v>
      </c>
    </row>
    <row r="47" spans="1:42" x14ac:dyDescent="0.25">
      <c r="A47">
        <f t="shared" si="51"/>
        <v>16</v>
      </c>
      <c r="B47" s="60" t="s">
        <v>103</v>
      </c>
      <c r="C47" s="54" t="s">
        <v>80</v>
      </c>
      <c r="D47" s="83">
        <f>'Reference VO 2017'!L30</f>
        <v>0</v>
      </c>
      <c r="E47" s="84">
        <f>'Reference VO 2017'!M30</f>
        <v>21422795</v>
      </c>
      <c r="F47" s="241">
        <f t="shared" si="37"/>
        <v>0.15646472634672462</v>
      </c>
      <c r="G47" s="241">
        <f t="shared" si="38"/>
        <v>0</v>
      </c>
      <c r="H47" s="84">
        <f>'Reference VO 2017'!P30</f>
        <v>21422795</v>
      </c>
      <c r="I47" s="84">
        <f>'Reference VO 2017'!Q30</f>
        <v>0</v>
      </c>
      <c r="J47" s="51">
        <f t="shared" si="27"/>
        <v>9.5928218457106376E-2</v>
      </c>
      <c r="K47" s="263">
        <f>'Reference VO 2017'!N30</f>
        <v>0.53</v>
      </c>
      <c r="L47" s="263">
        <f>'Reference VO 2017'!O30</f>
        <v>0</v>
      </c>
      <c r="M47" s="52"/>
      <c r="N47" s="51">
        <v>1</v>
      </c>
      <c r="O47" s="241">
        <f>N47*$J47*$C$73+VTPB_NICT!Q47</f>
        <v>0.42475584434650526</v>
      </c>
      <c r="P47" s="242">
        <f t="shared" si="52"/>
        <v>0</v>
      </c>
      <c r="Q47" s="241">
        <f t="shared" si="53"/>
        <v>0.42475584434650526</v>
      </c>
      <c r="R47" s="51">
        <f t="shared" si="28"/>
        <v>0.9</v>
      </c>
      <c r="S47" s="263">
        <f t="shared" si="29"/>
        <v>0.38228025991185477</v>
      </c>
      <c r="T47" s="242">
        <f t="shared" si="39"/>
        <v>0</v>
      </c>
      <c r="U47" s="241">
        <f t="shared" si="30"/>
        <v>0.38228025991185477</v>
      </c>
      <c r="V47" s="453">
        <f t="shared" si="50"/>
        <v>0.46889659827290503</v>
      </c>
      <c r="W47" s="454">
        <f t="shared" si="40"/>
        <v>0.42200693844561454</v>
      </c>
      <c r="X47" s="242">
        <f t="shared" si="31"/>
        <v>0</v>
      </c>
      <c r="Y47" s="242">
        <f t="shared" si="41"/>
        <v>0</v>
      </c>
      <c r="Z47" s="281">
        <f t="shared" si="32"/>
        <v>0.46889659827290503</v>
      </c>
      <c r="AA47" s="242">
        <f t="shared" si="33"/>
        <v>0</v>
      </c>
      <c r="AB47" s="242">
        <f t="shared" si="42"/>
        <v>0</v>
      </c>
      <c r="AC47" s="281">
        <f t="shared" si="43"/>
        <v>0.42200693844561454</v>
      </c>
      <c r="AD47" s="444">
        <f t="shared" si="54"/>
        <v>0.46889659827290503</v>
      </c>
      <c r="AE47" s="446">
        <f t="shared" si="47"/>
        <v>0.42200693844561454</v>
      </c>
      <c r="AF47" s="242">
        <f t="shared" si="34"/>
        <v>0</v>
      </c>
      <c r="AG47" s="242">
        <f t="shared" si="44"/>
        <v>0</v>
      </c>
      <c r="AH47" s="281">
        <f t="shared" si="35"/>
        <v>0.46889659827290503</v>
      </c>
      <c r="AI47" s="242">
        <f t="shared" si="48"/>
        <v>0</v>
      </c>
      <c r="AJ47" s="242">
        <f t="shared" si="45"/>
        <v>0</v>
      </c>
      <c r="AK47" s="281">
        <f t="shared" si="49"/>
        <v>0.42200693844561454</v>
      </c>
      <c r="AL47" s="444">
        <f t="shared" si="36"/>
        <v>0.46889659827290503</v>
      </c>
      <c r="AM47" s="446">
        <f t="shared" si="46"/>
        <v>0.42200693844561454</v>
      </c>
      <c r="AN47" s="282"/>
      <c r="AO47" s="278">
        <f>IFERROR(MAX(AL47-VTPB_NICT!Q47,0),0)</f>
        <v>0.37105924169635401</v>
      </c>
      <c r="AP47" s="278">
        <f>IFERROR(MAX(AM47-VTPB_NICT!R47,0),0)</f>
        <v>0.33395331752671864</v>
      </c>
    </row>
    <row r="48" spans="1:42" x14ac:dyDescent="0.25">
      <c r="A48">
        <f t="shared" si="51"/>
        <v>17</v>
      </c>
      <c r="B48" s="60" t="s">
        <v>104</v>
      </c>
      <c r="C48" s="54" t="s">
        <v>80</v>
      </c>
      <c r="D48" s="83">
        <f>'Reference VO 2017'!L31</f>
        <v>71.84778</v>
      </c>
      <c r="E48" s="84">
        <f>'Reference VO 2017'!M31</f>
        <v>1111503</v>
      </c>
      <c r="F48" s="241">
        <f t="shared" si="37"/>
        <v>8.1180356124662279E-3</v>
      </c>
      <c r="G48" s="241">
        <f t="shared" si="38"/>
        <v>0.58326283671663881</v>
      </c>
      <c r="H48" s="84">
        <f>'Reference VO 2017'!P31</f>
        <v>1111503</v>
      </c>
      <c r="I48" s="84">
        <f>'Reference VO 2017'!Q31</f>
        <v>0</v>
      </c>
      <c r="J48" s="51">
        <f t="shared" si="27"/>
        <v>9.5928218457106376E-2</v>
      </c>
      <c r="K48" s="263">
        <f>'Reference VO 2017'!N31</f>
        <v>0.53</v>
      </c>
      <c r="L48" s="263">
        <f>'Reference VO 2017'!O31</f>
        <v>0</v>
      </c>
      <c r="M48" s="52"/>
      <c r="N48" s="51">
        <v>1</v>
      </c>
      <c r="O48" s="241">
        <f>N48*$J48*$C$73+VTPB_NICT!Q48</f>
        <v>0.42475584434650526</v>
      </c>
      <c r="P48" s="242">
        <f t="shared" si="52"/>
        <v>0</v>
      </c>
      <c r="Q48" s="241">
        <f t="shared" si="53"/>
        <v>0.42475584434650526</v>
      </c>
      <c r="R48" s="51">
        <f t="shared" si="28"/>
        <v>0.9</v>
      </c>
      <c r="S48" s="263">
        <f t="shared" si="29"/>
        <v>0.38228025991185477</v>
      </c>
      <c r="T48" s="242">
        <f t="shared" si="39"/>
        <v>0</v>
      </c>
      <c r="U48" s="241">
        <f t="shared" si="30"/>
        <v>0.38228025991185477</v>
      </c>
      <c r="V48" s="453">
        <f t="shared" si="50"/>
        <v>0.46889659827290503</v>
      </c>
      <c r="W48" s="454">
        <f t="shared" si="40"/>
        <v>0.42200693844561454</v>
      </c>
      <c r="X48" s="242">
        <f t="shared" si="31"/>
        <v>0</v>
      </c>
      <c r="Y48" s="242">
        <f t="shared" si="41"/>
        <v>0</v>
      </c>
      <c r="Z48" s="281">
        <f t="shared" si="32"/>
        <v>0.46889659827290503</v>
      </c>
      <c r="AA48" s="242">
        <f t="shared" si="33"/>
        <v>0</v>
      </c>
      <c r="AB48" s="242">
        <f t="shared" si="42"/>
        <v>0</v>
      </c>
      <c r="AC48" s="281">
        <f t="shared" si="43"/>
        <v>0.42200693844561454</v>
      </c>
      <c r="AD48" s="444">
        <f t="shared" si="54"/>
        <v>0.46889659827290503</v>
      </c>
      <c r="AE48" s="446">
        <f t="shared" si="47"/>
        <v>0.42200693844561454</v>
      </c>
      <c r="AF48" s="242">
        <f t="shared" si="34"/>
        <v>0</v>
      </c>
      <c r="AG48" s="242">
        <f t="shared" si="44"/>
        <v>0</v>
      </c>
      <c r="AH48" s="281">
        <f t="shared" si="35"/>
        <v>0.46889659827290503</v>
      </c>
      <c r="AI48" s="242">
        <f t="shared" si="48"/>
        <v>0</v>
      </c>
      <c r="AJ48" s="242">
        <f t="shared" si="45"/>
        <v>0</v>
      </c>
      <c r="AK48" s="281">
        <f t="shared" si="49"/>
        <v>0.42200693844561454</v>
      </c>
      <c r="AL48" s="444">
        <f t="shared" si="36"/>
        <v>0.46889659827290503</v>
      </c>
      <c r="AM48" s="446">
        <f t="shared" si="46"/>
        <v>0.42200693844561454</v>
      </c>
      <c r="AN48" s="282"/>
      <c r="AO48" s="278">
        <f>IFERROR(MAX(AL48-VTPB_NICT!Q48,0),0)</f>
        <v>0.37105924169635401</v>
      </c>
      <c r="AP48" s="278">
        <f>IFERROR(MAX(AM48-VTPB_NICT!R48,0),0)</f>
        <v>0.33395331752671864</v>
      </c>
    </row>
    <row r="49" spans="1:45" x14ac:dyDescent="0.25">
      <c r="A49">
        <f t="shared" si="51"/>
        <v>18</v>
      </c>
      <c r="B49" s="60" t="s">
        <v>105</v>
      </c>
      <c r="C49" s="54" t="s">
        <v>80</v>
      </c>
      <c r="D49" s="83">
        <f>'Reference VO 2017'!L32</f>
        <v>137.48994999999999</v>
      </c>
      <c r="E49" s="84">
        <f>'Reference VO 2017'!M32</f>
        <v>166731</v>
      </c>
      <c r="F49" s="241">
        <f t="shared" si="37"/>
        <v>1.2177458771610212E-3</v>
      </c>
      <c r="G49" s="241">
        <f t="shared" si="38"/>
        <v>0.16742781976357493</v>
      </c>
      <c r="H49" s="84">
        <f>'Reference VO 2017'!P32</f>
        <v>166731</v>
      </c>
      <c r="I49" s="84">
        <f>'Reference VO 2017'!Q32</f>
        <v>0</v>
      </c>
      <c r="J49" s="51">
        <f t="shared" si="27"/>
        <v>9.5928218457106376E-2</v>
      </c>
      <c r="K49" s="263">
        <f>'Reference VO 2017'!N32</f>
        <v>0.53</v>
      </c>
      <c r="L49" s="263">
        <f>'Reference VO 2017'!O32</f>
        <v>0</v>
      </c>
      <c r="M49" s="52"/>
      <c r="N49" s="51">
        <v>1</v>
      </c>
      <c r="O49" s="241">
        <f>N49*$J49*$C$73+VTPB_NICT!Q49</f>
        <v>0.42475584434650526</v>
      </c>
      <c r="P49" s="242">
        <f t="shared" si="52"/>
        <v>0</v>
      </c>
      <c r="Q49" s="241">
        <f t="shared" si="53"/>
        <v>0.42475584434650526</v>
      </c>
      <c r="R49" s="51">
        <f t="shared" si="28"/>
        <v>0.9</v>
      </c>
      <c r="S49" s="263">
        <f t="shared" si="29"/>
        <v>0.38228025991185477</v>
      </c>
      <c r="T49" s="242">
        <f t="shared" si="39"/>
        <v>0</v>
      </c>
      <c r="U49" s="241">
        <f t="shared" si="30"/>
        <v>0.38228025991185477</v>
      </c>
      <c r="V49" s="453">
        <f t="shared" si="50"/>
        <v>0.46889659827290503</v>
      </c>
      <c r="W49" s="454">
        <f t="shared" si="40"/>
        <v>0.42200693844561454</v>
      </c>
      <c r="X49" s="242">
        <f t="shared" si="31"/>
        <v>0</v>
      </c>
      <c r="Y49" s="242">
        <f t="shared" si="41"/>
        <v>0</v>
      </c>
      <c r="Z49" s="281">
        <f t="shared" si="32"/>
        <v>0.46889659827290503</v>
      </c>
      <c r="AA49" s="242">
        <f t="shared" si="33"/>
        <v>0</v>
      </c>
      <c r="AB49" s="242">
        <f t="shared" si="42"/>
        <v>0</v>
      </c>
      <c r="AC49" s="281">
        <f t="shared" si="43"/>
        <v>0.42200693844561454</v>
      </c>
      <c r="AD49" s="444">
        <f t="shared" si="54"/>
        <v>0.46889659827290503</v>
      </c>
      <c r="AE49" s="446">
        <f t="shared" si="47"/>
        <v>0.42200693844561454</v>
      </c>
      <c r="AF49" s="242">
        <f t="shared" si="34"/>
        <v>0</v>
      </c>
      <c r="AG49" s="242">
        <f t="shared" si="44"/>
        <v>0</v>
      </c>
      <c r="AH49" s="281">
        <f t="shared" si="35"/>
        <v>0.46889659827290503</v>
      </c>
      <c r="AI49" s="242">
        <f t="shared" si="48"/>
        <v>0</v>
      </c>
      <c r="AJ49" s="242">
        <f t="shared" si="45"/>
        <v>0</v>
      </c>
      <c r="AK49" s="281">
        <f t="shared" si="49"/>
        <v>0.42200693844561454</v>
      </c>
      <c r="AL49" s="444">
        <f t="shared" si="36"/>
        <v>0.46889659827290503</v>
      </c>
      <c r="AM49" s="446">
        <f t="shared" si="46"/>
        <v>0.42200693844561454</v>
      </c>
      <c r="AN49" s="282"/>
      <c r="AO49" s="278">
        <f>IFERROR(MAX(AL49-VTPB_NICT!Q49,0),0)</f>
        <v>0.37105924169635401</v>
      </c>
      <c r="AP49" s="278">
        <f>IFERROR(MAX(AM49-VTPB_NICT!R49,0),0)</f>
        <v>0.33395331752671864</v>
      </c>
    </row>
    <row r="50" spans="1:45" x14ac:dyDescent="0.25">
      <c r="A50">
        <f t="shared" si="51"/>
        <v>19</v>
      </c>
      <c r="B50" s="60" t="s">
        <v>106</v>
      </c>
      <c r="C50" s="54" t="s">
        <v>80</v>
      </c>
      <c r="D50" s="83">
        <f>'Reference VO 2017'!L33</f>
        <v>180.23273</v>
      </c>
      <c r="E50" s="84">
        <f>'Reference VO 2017'!M33</f>
        <v>221439</v>
      </c>
      <c r="F50" s="241">
        <f t="shared" si="37"/>
        <v>1.6173142924390748E-3</v>
      </c>
      <c r="G50" s="241">
        <f t="shared" si="38"/>
        <v>0.29149297019431281</v>
      </c>
      <c r="H50" s="84">
        <f>'Reference VO 2017'!P33</f>
        <v>221439</v>
      </c>
      <c r="I50" s="84">
        <f>'Reference VO 2017'!Q33</f>
        <v>0</v>
      </c>
      <c r="J50" s="51">
        <f t="shared" si="27"/>
        <v>9.5928218457106376E-2</v>
      </c>
      <c r="K50" s="263">
        <f>'Reference VO 2017'!N33</f>
        <v>0.53</v>
      </c>
      <c r="L50" s="263">
        <f>'Reference VO 2017'!O33</f>
        <v>0</v>
      </c>
      <c r="M50" s="52"/>
      <c r="N50" s="51">
        <v>1</v>
      </c>
      <c r="O50" s="241">
        <f>N50*$J50*$C$73+VTPB_NICT!Q50</f>
        <v>0.42475584434650526</v>
      </c>
      <c r="P50" s="242">
        <f t="shared" si="52"/>
        <v>0</v>
      </c>
      <c r="Q50" s="241">
        <f t="shared" si="53"/>
        <v>0.42475584434650526</v>
      </c>
      <c r="R50" s="51">
        <f t="shared" si="28"/>
        <v>0.9</v>
      </c>
      <c r="S50" s="263">
        <f t="shared" si="29"/>
        <v>0.38228025991185477</v>
      </c>
      <c r="T50" s="242">
        <f t="shared" si="39"/>
        <v>0</v>
      </c>
      <c r="U50" s="241">
        <f t="shared" si="30"/>
        <v>0.38228025991185477</v>
      </c>
      <c r="V50" s="453">
        <f t="shared" si="50"/>
        <v>0.46889659827290503</v>
      </c>
      <c r="W50" s="454">
        <f t="shared" si="40"/>
        <v>0.42200693844561454</v>
      </c>
      <c r="X50" s="242">
        <f t="shared" si="31"/>
        <v>0</v>
      </c>
      <c r="Y50" s="242">
        <f t="shared" si="41"/>
        <v>0</v>
      </c>
      <c r="Z50" s="281">
        <f t="shared" si="32"/>
        <v>0.46889659827290503</v>
      </c>
      <c r="AA50" s="242">
        <f t="shared" si="33"/>
        <v>0</v>
      </c>
      <c r="AB50" s="242">
        <f t="shared" si="42"/>
        <v>0</v>
      </c>
      <c r="AC50" s="281">
        <f t="shared" si="43"/>
        <v>0.42200693844561454</v>
      </c>
      <c r="AD50" s="444">
        <f t="shared" si="54"/>
        <v>0.46889659827290503</v>
      </c>
      <c r="AE50" s="446">
        <f t="shared" si="47"/>
        <v>0.42200693844561454</v>
      </c>
      <c r="AF50" s="242">
        <f t="shared" si="34"/>
        <v>0</v>
      </c>
      <c r="AG50" s="242">
        <f t="shared" si="44"/>
        <v>0</v>
      </c>
      <c r="AH50" s="281">
        <f t="shared" si="35"/>
        <v>0.46889659827290503</v>
      </c>
      <c r="AI50" s="242">
        <f t="shared" si="48"/>
        <v>0</v>
      </c>
      <c r="AJ50" s="242">
        <f t="shared" si="45"/>
        <v>0</v>
      </c>
      <c r="AK50" s="281">
        <f t="shared" si="49"/>
        <v>0.42200693844561454</v>
      </c>
      <c r="AL50" s="444">
        <f t="shared" si="36"/>
        <v>0.46889659827290503</v>
      </c>
      <c r="AM50" s="446">
        <f t="shared" si="46"/>
        <v>0.42200693844561454</v>
      </c>
      <c r="AN50" s="282"/>
      <c r="AO50" s="278">
        <f>IFERROR(MAX(AL50-VTPB_NICT!Q50,0),0)</f>
        <v>0.37105924169635401</v>
      </c>
      <c r="AP50" s="278">
        <f>IFERROR(MAX(AM50-VTPB_NICT!R50,0),0)</f>
        <v>0.33395331752671864</v>
      </c>
    </row>
    <row r="51" spans="1:45" x14ac:dyDescent="0.25">
      <c r="A51">
        <f t="shared" si="51"/>
        <v>20</v>
      </c>
      <c r="B51" s="60" t="s">
        <v>107</v>
      </c>
      <c r="C51" s="54" t="s">
        <v>80</v>
      </c>
      <c r="D51" s="83">
        <f>'Reference VO 2017'!L34</f>
        <v>210.69001</v>
      </c>
      <c r="E51" s="84">
        <f>'Reference VO 2017'!M34</f>
        <v>1952543</v>
      </c>
      <c r="F51" s="241">
        <f t="shared" si="37"/>
        <v>1.4260702498213361E-2</v>
      </c>
      <c r="G51" s="241">
        <f t="shared" si="38"/>
        <v>3.004587551955598</v>
      </c>
      <c r="H51" s="84">
        <f>'Reference VO 2017'!P34</f>
        <v>1952543</v>
      </c>
      <c r="I51" s="84">
        <f>'Reference VO 2017'!Q34</f>
        <v>0</v>
      </c>
      <c r="J51" s="51">
        <f t="shared" si="27"/>
        <v>9.5928218457106376E-2</v>
      </c>
      <c r="K51" s="263">
        <f>'Reference VO 2017'!N34</f>
        <v>0.53</v>
      </c>
      <c r="L51" s="263">
        <f>'Reference VO 2017'!O34</f>
        <v>0</v>
      </c>
      <c r="M51" s="52"/>
      <c r="N51" s="51">
        <v>1</v>
      </c>
      <c r="O51" s="241">
        <f>N51*$J51*$C$73+VTPB_NICT!Q51</f>
        <v>0.42475584434650526</v>
      </c>
      <c r="P51" s="242">
        <f t="shared" si="52"/>
        <v>0</v>
      </c>
      <c r="Q51" s="241">
        <f t="shared" si="53"/>
        <v>0.42475584434650526</v>
      </c>
      <c r="R51" s="51">
        <f t="shared" si="28"/>
        <v>0.9</v>
      </c>
      <c r="S51" s="263">
        <f t="shared" si="29"/>
        <v>0.38228025991185477</v>
      </c>
      <c r="T51" s="242">
        <f t="shared" si="39"/>
        <v>0</v>
      </c>
      <c r="U51" s="241">
        <f t="shared" si="30"/>
        <v>0.38228025991185477</v>
      </c>
      <c r="V51" s="453">
        <f t="shared" si="50"/>
        <v>0.46889659827290503</v>
      </c>
      <c r="W51" s="454">
        <f t="shared" si="40"/>
        <v>0.42200693844561454</v>
      </c>
      <c r="X51" s="242">
        <f t="shared" si="31"/>
        <v>0</v>
      </c>
      <c r="Y51" s="242">
        <f t="shared" si="41"/>
        <v>0</v>
      </c>
      <c r="Z51" s="281">
        <f t="shared" si="32"/>
        <v>0.46889659827290503</v>
      </c>
      <c r="AA51" s="242">
        <f t="shared" si="33"/>
        <v>0</v>
      </c>
      <c r="AB51" s="242">
        <f t="shared" si="42"/>
        <v>0</v>
      </c>
      <c r="AC51" s="281">
        <f t="shared" si="43"/>
        <v>0.42200693844561454</v>
      </c>
      <c r="AD51" s="444">
        <f t="shared" si="54"/>
        <v>0.46889659827290503</v>
      </c>
      <c r="AE51" s="446">
        <f t="shared" si="47"/>
        <v>0.42200693844561454</v>
      </c>
      <c r="AF51" s="242">
        <f t="shared" si="34"/>
        <v>0</v>
      </c>
      <c r="AG51" s="242">
        <f t="shared" si="44"/>
        <v>0</v>
      </c>
      <c r="AH51" s="281">
        <f t="shared" si="35"/>
        <v>0.46889659827290503</v>
      </c>
      <c r="AI51" s="242">
        <f t="shared" si="48"/>
        <v>0</v>
      </c>
      <c r="AJ51" s="242">
        <f t="shared" si="45"/>
        <v>0</v>
      </c>
      <c r="AK51" s="281">
        <f t="shared" si="49"/>
        <v>0.42200693844561454</v>
      </c>
      <c r="AL51" s="444">
        <f t="shared" si="36"/>
        <v>0.46889659827290503</v>
      </c>
      <c r="AM51" s="446">
        <f t="shared" si="46"/>
        <v>0.42200693844561454</v>
      </c>
      <c r="AN51" s="282"/>
      <c r="AO51" s="278">
        <f>IFERROR(MAX(AL51-VTPB_NICT!Q51,0),0)</f>
        <v>0.37105924169635401</v>
      </c>
      <c r="AP51" s="278">
        <f>IFERROR(MAX(AM51-VTPB_NICT!R51,0),0)</f>
        <v>0.33395331752671864</v>
      </c>
    </row>
    <row r="52" spans="1:45" x14ac:dyDescent="0.25">
      <c r="A52">
        <f t="shared" si="51"/>
        <v>21</v>
      </c>
      <c r="B52" s="60" t="s">
        <v>108</v>
      </c>
      <c r="C52" s="54" t="s">
        <v>80</v>
      </c>
      <c r="D52" s="83">
        <f>'Reference VO 2017'!L35</f>
        <v>231.34958</v>
      </c>
      <c r="E52" s="84">
        <f>'Reference VO 2017'!M35</f>
        <v>110456</v>
      </c>
      <c r="F52" s="241">
        <f t="shared" si="37"/>
        <v>8.0673263284990649E-4</v>
      </c>
      <c r="G52" s="241">
        <f t="shared" si="38"/>
        <v>0.18663725578212007</v>
      </c>
      <c r="H52" s="84">
        <f>'Reference VO 2017'!P35</f>
        <v>110456</v>
      </c>
      <c r="I52" s="84">
        <f>'Reference VO 2017'!Q35</f>
        <v>0</v>
      </c>
      <c r="J52" s="51">
        <f t="shared" si="27"/>
        <v>9.5928218457106376E-2</v>
      </c>
      <c r="K52" s="263">
        <f>'Reference VO 2017'!N35</f>
        <v>0.53</v>
      </c>
      <c r="L52" s="263">
        <f>'Reference VO 2017'!O35</f>
        <v>0</v>
      </c>
      <c r="M52" s="52"/>
      <c r="N52" s="51">
        <v>1</v>
      </c>
      <c r="O52" s="241">
        <f>N52*$J52*$C$73+VTPB_NICT!Q52</f>
        <v>0.42475584434650526</v>
      </c>
      <c r="P52" s="242">
        <f t="shared" si="52"/>
        <v>0</v>
      </c>
      <c r="Q52" s="241">
        <f t="shared" si="53"/>
        <v>0.42475584434650526</v>
      </c>
      <c r="R52" s="51">
        <f t="shared" si="28"/>
        <v>0.9</v>
      </c>
      <c r="S52" s="263">
        <f t="shared" si="29"/>
        <v>0.38228025991185477</v>
      </c>
      <c r="T52" s="242">
        <f t="shared" si="39"/>
        <v>0</v>
      </c>
      <c r="U52" s="241">
        <f t="shared" si="30"/>
        <v>0.38228025991185477</v>
      </c>
      <c r="V52" s="453">
        <f t="shared" si="50"/>
        <v>0.46889659827290503</v>
      </c>
      <c r="W52" s="454">
        <f t="shared" si="40"/>
        <v>0.42200693844561454</v>
      </c>
      <c r="X52" s="242">
        <f t="shared" si="31"/>
        <v>0</v>
      </c>
      <c r="Y52" s="242">
        <f t="shared" si="41"/>
        <v>0</v>
      </c>
      <c r="Z52" s="281">
        <f t="shared" si="32"/>
        <v>0.46889659827290503</v>
      </c>
      <c r="AA52" s="242">
        <f t="shared" si="33"/>
        <v>0</v>
      </c>
      <c r="AB52" s="242">
        <f t="shared" si="42"/>
        <v>0</v>
      </c>
      <c r="AC52" s="281">
        <f t="shared" si="43"/>
        <v>0.42200693844561454</v>
      </c>
      <c r="AD52" s="444">
        <f t="shared" si="54"/>
        <v>0.46889659827290503</v>
      </c>
      <c r="AE52" s="446">
        <f t="shared" si="47"/>
        <v>0.42200693844561454</v>
      </c>
      <c r="AF52" s="242">
        <f t="shared" si="34"/>
        <v>0</v>
      </c>
      <c r="AG52" s="242">
        <f t="shared" si="44"/>
        <v>0</v>
      </c>
      <c r="AH52" s="281">
        <f t="shared" si="35"/>
        <v>0.46889659827290503</v>
      </c>
      <c r="AI52" s="242">
        <f t="shared" si="48"/>
        <v>0</v>
      </c>
      <c r="AJ52" s="242">
        <f t="shared" si="45"/>
        <v>0</v>
      </c>
      <c r="AK52" s="281">
        <f t="shared" si="49"/>
        <v>0.42200693844561454</v>
      </c>
      <c r="AL52" s="444">
        <f t="shared" si="36"/>
        <v>0.46889659827290503</v>
      </c>
      <c r="AM52" s="446">
        <f t="shared" si="46"/>
        <v>0.42200693844561454</v>
      </c>
      <c r="AN52" s="282"/>
      <c r="AO52" s="278">
        <f>IFERROR(MAX(AL52-VTPB_NICT!Q52,0),0)</f>
        <v>0.37105924169635401</v>
      </c>
      <c r="AP52" s="278">
        <f>IFERROR(MAX(AM52-VTPB_NICT!R52,0),0)</f>
        <v>0.33395331752671864</v>
      </c>
    </row>
    <row r="53" spans="1:45" x14ac:dyDescent="0.25">
      <c r="A53">
        <f t="shared" si="51"/>
        <v>22</v>
      </c>
      <c r="B53" s="60" t="s">
        <v>109</v>
      </c>
      <c r="C53" s="54" t="s">
        <v>84</v>
      </c>
      <c r="D53" s="83">
        <f>'Reference VO 2017'!L36</f>
        <v>268.73602</v>
      </c>
      <c r="E53" s="84">
        <f>'Reference VO 2017'!M36</f>
        <v>55223</v>
      </c>
      <c r="F53" s="241">
        <f t="shared" si="37"/>
        <v>4.0332979814469461E-4</v>
      </c>
      <c r="G53" s="241">
        <f t="shared" si="38"/>
        <v>0.10838924470080862</v>
      </c>
      <c r="H53" s="84">
        <f>'Reference VO 2017'!P36</f>
        <v>55223</v>
      </c>
      <c r="I53" s="84">
        <f>'Reference VO 2017'!Q36</f>
        <v>0</v>
      </c>
      <c r="J53" s="51">
        <f t="shared" si="27"/>
        <v>0.88624017147884304</v>
      </c>
      <c r="K53" s="263">
        <f>'Reference VO 2017'!N36</f>
        <v>4.2</v>
      </c>
      <c r="L53" s="263">
        <f>'Reference VO 2017'!O36</f>
        <v>0</v>
      </c>
      <c r="M53" s="52"/>
      <c r="N53" s="51">
        <v>1</v>
      </c>
      <c r="O53" s="241">
        <f>N53*$J53*$C$73+VTPB_NICT!Q53</f>
        <v>3.9241393031666503</v>
      </c>
      <c r="P53" s="242">
        <f>IF(K53=0,0,IF(O53&gt;(1+max_increase)*$K53,1,0))</f>
        <v>0</v>
      </c>
      <c r="Q53" s="241">
        <f t="shared" si="53"/>
        <v>3.9241393031666503</v>
      </c>
      <c r="R53" s="51">
        <f t="shared" si="28"/>
        <v>0.9</v>
      </c>
      <c r="S53" s="263">
        <f t="shared" si="29"/>
        <v>3.5317253728499853</v>
      </c>
      <c r="T53" s="242">
        <f t="shared" si="39"/>
        <v>0</v>
      </c>
      <c r="U53" s="241">
        <f t="shared" si="30"/>
        <v>3.5317253728499853</v>
      </c>
      <c r="V53" s="453">
        <f t="shared" si="50"/>
        <v>4.3319370289883787</v>
      </c>
      <c r="W53" s="454">
        <f t="shared" si="40"/>
        <v>3.8987433260895408</v>
      </c>
      <c r="X53" s="242">
        <f t="shared" si="31"/>
        <v>0</v>
      </c>
      <c r="Y53" s="242">
        <f t="shared" si="41"/>
        <v>0</v>
      </c>
      <c r="Z53" s="281">
        <f t="shared" si="32"/>
        <v>4.3319370289883787</v>
      </c>
      <c r="AA53" s="242">
        <f t="shared" si="33"/>
        <v>0</v>
      </c>
      <c r="AB53" s="242">
        <f t="shared" si="42"/>
        <v>0</v>
      </c>
      <c r="AC53" s="281">
        <f t="shared" si="43"/>
        <v>3.8987433260895408</v>
      </c>
      <c r="AD53" s="444">
        <f t="shared" si="54"/>
        <v>4.3319370289883787</v>
      </c>
      <c r="AE53" s="446">
        <f t="shared" si="47"/>
        <v>3.8987433260895408</v>
      </c>
      <c r="AF53" s="242">
        <f t="shared" si="34"/>
        <v>0</v>
      </c>
      <c r="AG53" s="242">
        <f t="shared" si="44"/>
        <v>0</v>
      </c>
      <c r="AH53" s="281">
        <f t="shared" si="35"/>
        <v>4.3319370289883787</v>
      </c>
      <c r="AI53" s="242">
        <f t="shared" si="48"/>
        <v>0</v>
      </c>
      <c r="AJ53" s="242">
        <f t="shared" si="45"/>
        <v>0</v>
      </c>
      <c r="AK53" s="281">
        <f t="shared" si="49"/>
        <v>3.8987433260895408</v>
      </c>
      <c r="AL53" s="444">
        <f t="shared" si="36"/>
        <v>4.3319370289883787</v>
      </c>
      <c r="AM53" s="446">
        <f t="shared" si="46"/>
        <v>3.8987433260895408</v>
      </c>
      <c r="AN53" s="282"/>
      <c r="AO53" s="278">
        <f>IFERROR(MAX(AL53-VTPB_NICT!Q53,0),0)</f>
        <v>3.4280591392075959</v>
      </c>
      <c r="AP53" s="278">
        <f>IFERROR(MAX(AM53-VTPB_NICT!R53,0),0)</f>
        <v>3.0852532252868361</v>
      </c>
    </row>
    <row r="54" spans="1:45" x14ac:dyDescent="0.25">
      <c r="A54">
        <f t="shared" si="51"/>
        <v>23</v>
      </c>
      <c r="B54" s="60" t="s">
        <v>110</v>
      </c>
      <c r="C54" s="54" t="s">
        <v>84</v>
      </c>
      <c r="D54" s="83">
        <f>'Reference VO 2017'!L37</f>
        <v>300.39652000000001</v>
      </c>
      <c r="E54" s="84">
        <f>'Reference VO 2017'!M37</f>
        <v>22022</v>
      </c>
      <c r="F54" s="241">
        <f t="shared" si="37"/>
        <v>1.6084111357120157E-4</v>
      </c>
      <c r="G54" s="241">
        <f t="shared" si="38"/>
        <v>4.8316110789713727E-2</v>
      </c>
      <c r="H54" s="84">
        <f>'Reference VO 2017'!P37</f>
        <v>22022</v>
      </c>
      <c r="I54" s="84">
        <f>'Reference VO 2017'!Q37</f>
        <v>0</v>
      </c>
      <c r="J54" s="51">
        <f t="shared" si="27"/>
        <v>0.88624017147884304</v>
      </c>
      <c r="K54" s="263">
        <f>'Reference VO 2017'!N37</f>
        <v>4.2</v>
      </c>
      <c r="L54" s="263">
        <f>'Reference VO 2017'!O37</f>
        <v>0</v>
      </c>
      <c r="M54" s="52"/>
      <c r="N54" s="51">
        <v>1</v>
      </c>
      <c r="O54" s="241">
        <f>N54*$J54*$C$73+VTPB_NICT!Q54</f>
        <v>3.9241393031666503</v>
      </c>
      <c r="P54" s="242">
        <f>IF(K54=0,0,IF(O54&gt;(1+max_increase)*$K54,1,0))</f>
        <v>0</v>
      </c>
      <c r="Q54" s="241">
        <f t="shared" si="53"/>
        <v>3.9241393031666503</v>
      </c>
      <c r="R54" s="51">
        <f t="shared" si="28"/>
        <v>0.9</v>
      </c>
      <c r="S54" s="263">
        <f t="shared" si="29"/>
        <v>3.5317253728499853</v>
      </c>
      <c r="T54" s="242">
        <f t="shared" si="39"/>
        <v>0</v>
      </c>
      <c r="U54" s="241">
        <f t="shared" si="30"/>
        <v>3.5317253728499853</v>
      </c>
      <c r="V54" s="453">
        <f t="shared" si="50"/>
        <v>4.3319370289883787</v>
      </c>
      <c r="W54" s="454">
        <f t="shared" si="40"/>
        <v>3.8987433260895408</v>
      </c>
      <c r="X54" s="242">
        <f t="shared" si="31"/>
        <v>0</v>
      </c>
      <c r="Y54" s="242">
        <f t="shared" si="41"/>
        <v>0</v>
      </c>
      <c r="Z54" s="281">
        <f t="shared" si="32"/>
        <v>4.3319370289883787</v>
      </c>
      <c r="AA54" s="242">
        <f t="shared" si="33"/>
        <v>0</v>
      </c>
      <c r="AB54" s="242">
        <f t="shared" si="42"/>
        <v>0</v>
      </c>
      <c r="AC54" s="281">
        <f t="shared" si="43"/>
        <v>3.8987433260895408</v>
      </c>
      <c r="AD54" s="444">
        <f t="shared" si="54"/>
        <v>4.3319370289883787</v>
      </c>
      <c r="AE54" s="446">
        <f t="shared" si="47"/>
        <v>3.8987433260895408</v>
      </c>
      <c r="AF54" s="242">
        <f t="shared" si="34"/>
        <v>0</v>
      </c>
      <c r="AG54" s="242">
        <f t="shared" si="44"/>
        <v>0</v>
      </c>
      <c r="AH54" s="281">
        <f t="shared" si="35"/>
        <v>4.3319370289883787</v>
      </c>
      <c r="AI54" s="242">
        <f t="shared" si="48"/>
        <v>0</v>
      </c>
      <c r="AJ54" s="242">
        <f t="shared" si="45"/>
        <v>0</v>
      </c>
      <c r="AK54" s="281">
        <f t="shared" si="49"/>
        <v>3.8987433260895408</v>
      </c>
      <c r="AL54" s="444">
        <f t="shared" si="36"/>
        <v>4.3319370289883787</v>
      </c>
      <c r="AM54" s="446">
        <f t="shared" si="46"/>
        <v>3.8987433260895408</v>
      </c>
      <c r="AN54" s="282"/>
      <c r="AO54" s="278">
        <f>IFERROR(MAX(AL54-VTPB_NICT!Q54,0),0)</f>
        <v>3.4280591392075959</v>
      </c>
      <c r="AP54" s="278">
        <f>IFERROR(MAX(AM54-VTPB_NICT!R54,0),0)</f>
        <v>3.0852532252868361</v>
      </c>
    </row>
    <row r="55" spans="1:45" x14ac:dyDescent="0.25">
      <c r="A55">
        <f t="shared" si="51"/>
        <v>24</v>
      </c>
      <c r="B55" s="60" t="s">
        <v>111</v>
      </c>
      <c r="C55" s="54" t="s">
        <v>84</v>
      </c>
      <c r="D55" s="83">
        <f>'Reference VO 2017'!L38</f>
        <v>320.51218999999998</v>
      </c>
      <c r="E55" s="84">
        <f>'Reference VO 2017'!M38</f>
        <v>110087</v>
      </c>
      <c r="F55" s="241">
        <f t="shared" si="37"/>
        <v>8.0403758376681805E-4</v>
      </c>
      <c r="G55" s="241">
        <f t="shared" si="38"/>
        <v>0.25770384681541131</v>
      </c>
      <c r="H55" s="84">
        <f>'Reference VO 2017'!P38</f>
        <v>110087</v>
      </c>
      <c r="I55" s="84">
        <f>'Reference VO 2017'!Q38</f>
        <v>0</v>
      </c>
      <c r="J55" s="51">
        <f t="shared" si="27"/>
        <v>0.88624017147884304</v>
      </c>
      <c r="K55" s="263">
        <f>'Reference VO 2017'!N38</f>
        <v>4.2</v>
      </c>
      <c r="L55" s="263">
        <f>'Reference VO 2017'!O38</f>
        <v>0</v>
      </c>
      <c r="M55" s="52"/>
      <c r="N55" s="51">
        <v>1</v>
      </c>
      <c r="O55" s="241">
        <f>N55*$J55*$C$73+VTPB_NICT!Q55</f>
        <v>3.9241393031666503</v>
      </c>
      <c r="P55" s="242">
        <f>IF(K55=0,0,IF(O55&gt;(1+max_increase)*$K55,1,0))</f>
        <v>0</v>
      </c>
      <c r="Q55" s="241">
        <f t="shared" si="53"/>
        <v>3.9241393031666503</v>
      </c>
      <c r="R55" s="51">
        <f t="shared" si="28"/>
        <v>0.9</v>
      </c>
      <c r="S55" s="263">
        <f t="shared" si="29"/>
        <v>3.5317253728499853</v>
      </c>
      <c r="T55" s="242">
        <f t="shared" si="39"/>
        <v>0</v>
      </c>
      <c r="U55" s="241">
        <f t="shared" si="30"/>
        <v>3.5317253728499853</v>
      </c>
      <c r="V55" s="453">
        <f t="shared" si="50"/>
        <v>4.3319370289883787</v>
      </c>
      <c r="W55" s="454">
        <f t="shared" si="40"/>
        <v>3.8987433260895408</v>
      </c>
      <c r="X55" s="242">
        <f t="shared" si="31"/>
        <v>0</v>
      </c>
      <c r="Y55" s="242">
        <f t="shared" si="41"/>
        <v>0</v>
      </c>
      <c r="Z55" s="281">
        <f t="shared" si="32"/>
        <v>4.3319370289883787</v>
      </c>
      <c r="AA55" s="242">
        <f t="shared" si="33"/>
        <v>0</v>
      </c>
      <c r="AB55" s="242">
        <f t="shared" si="42"/>
        <v>0</v>
      </c>
      <c r="AC55" s="281">
        <f t="shared" si="43"/>
        <v>3.8987433260895408</v>
      </c>
      <c r="AD55" s="444">
        <f t="shared" si="54"/>
        <v>4.3319370289883787</v>
      </c>
      <c r="AE55" s="446">
        <f t="shared" si="47"/>
        <v>3.8987433260895408</v>
      </c>
      <c r="AF55" s="242">
        <f t="shared" si="34"/>
        <v>0</v>
      </c>
      <c r="AG55" s="242">
        <f t="shared" si="44"/>
        <v>0</v>
      </c>
      <c r="AH55" s="281">
        <f t="shared" si="35"/>
        <v>4.3319370289883787</v>
      </c>
      <c r="AI55" s="242">
        <f t="shared" si="48"/>
        <v>0</v>
      </c>
      <c r="AJ55" s="242">
        <f t="shared" si="45"/>
        <v>0</v>
      </c>
      <c r="AK55" s="281">
        <f t="shared" si="49"/>
        <v>3.8987433260895408</v>
      </c>
      <c r="AL55" s="444">
        <f t="shared" si="36"/>
        <v>4.3319370289883787</v>
      </c>
      <c r="AM55" s="446">
        <f t="shared" si="46"/>
        <v>3.8987433260895408</v>
      </c>
      <c r="AN55" s="282"/>
      <c r="AO55" s="278">
        <f>IFERROR(MAX(AL55-VTPB_NICT!Q55,0),0)</f>
        <v>3.4280591392075959</v>
      </c>
      <c r="AP55" s="278">
        <f>IFERROR(MAX(AM55-VTPB_NICT!R55,0),0)</f>
        <v>3.0852532252868361</v>
      </c>
    </row>
    <row r="56" spans="1:45" x14ac:dyDescent="0.25">
      <c r="A56">
        <f t="shared" si="51"/>
        <v>25</v>
      </c>
      <c r="B56" s="60" t="s">
        <v>112</v>
      </c>
      <c r="C56" s="54" t="s">
        <v>84</v>
      </c>
      <c r="D56" s="83">
        <f>'Reference VO 2017'!L39</f>
        <v>361.42469</v>
      </c>
      <c r="E56" s="84">
        <f>'Reference VO 2017'!M39</f>
        <v>284539</v>
      </c>
      <c r="F56" s="241">
        <f t="shared" si="37"/>
        <v>2.0781749893032477E-3</v>
      </c>
      <c r="G56" s="241">
        <f t="shared" si="38"/>
        <v>0.75110375127467965</v>
      </c>
      <c r="H56" s="84">
        <f>'Reference VO 2017'!P39</f>
        <v>284539</v>
      </c>
      <c r="I56" s="84">
        <f>'Reference VO 2017'!Q39</f>
        <v>0</v>
      </c>
      <c r="J56" s="51">
        <f t="shared" si="27"/>
        <v>0.88624017147884304</v>
      </c>
      <c r="K56" s="263">
        <f>'Reference VO 2017'!N39</f>
        <v>4.2</v>
      </c>
      <c r="L56" s="263">
        <f>'Reference VO 2017'!O39</f>
        <v>0</v>
      </c>
      <c r="M56" s="52"/>
      <c r="N56" s="51">
        <v>1</v>
      </c>
      <c r="O56" s="241">
        <f>N56*$J56*$C$73+VTPB_NICT!Q56</f>
        <v>3.9241393031666503</v>
      </c>
      <c r="P56" s="242">
        <f>IF(K56=0,0,IF(O56&gt;(1+max_increase)*$K56,1,0))</f>
        <v>0</v>
      </c>
      <c r="Q56" s="241">
        <f t="shared" si="53"/>
        <v>3.9241393031666503</v>
      </c>
      <c r="R56" s="51">
        <f t="shared" si="28"/>
        <v>0.9</v>
      </c>
      <c r="S56" s="263">
        <f t="shared" si="29"/>
        <v>3.5317253728499853</v>
      </c>
      <c r="T56" s="242">
        <f t="shared" si="39"/>
        <v>0</v>
      </c>
      <c r="U56" s="241">
        <f t="shared" si="30"/>
        <v>3.5317253728499853</v>
      </c>
      <c r="V56" s="453">
        <f t="shared" si="50"/>
        <v>4.3319370289883787</v>
      </c>
      <c r="W56" s="454">
        <f t="shared" si="40"/>
        <v>3.8987433260895408</v>
      </c>
      <c r="X56" s="242">
        <f t="shared" si="31"/>
        <v>0</v>
      </c>
      <c r="Y56" s="242">
        <f t="shared" si="41"/>
        <v>0</v>
      </c>
      <c r="Z56" s="281">
        <f t="shared" si="32"/>
        <v>4.3319370289883787</v>
      </c>
      <c r="AA56" s="242">
        <f t="shared" si="33"/>
        <v>0</v>
      </c>
      <c r="AB56" s="242">
        <f t="shared" si="42"/>
        <v>0</v>
      </c>
      <c r="AC56" s="281">
        <f t="shared" si="43"/>
        <v>3.8987433260895408</v>
      </c>
      <c r="AD56" s="444">
        <f t="shared" si="54"/>
        <v>4.3319370289883787</v>
      </c>
      <c r="AE56" s="446">
        <f t="shared" si="47"/>
        <v>3.8987433260895408</v>
      </c>
      <c r="AF56" s="242">
        <f t="shared" si="34"/>
        <v>0</v>
      </c>
      <c r="AG56" s="242">
        <f t="shared" si="44"/>
        <v>0</v>
      </c>
      <c r="AH56" s="281">
        <f t="shared" si="35"/>
        <v>4.3319370289883787</v>
      </c>
      <c r="AI56" s="242">
        <f t="shared" si="48"/>
        <v>0</v>
      </c>
      <c r="AJ56" s="242">
        <f t="shared" si="45"/>
        <v>0</v>
      </c>
      <c r="AK56" s="281">
        <f t="shared" si="49"/>
        <v>3.8987433260895408</v>
      </c>
      <c r="AL56" s="444">
        <f t="shared" si="36"/>
        <v>4.3319370289883787</v>
      </c>
      <c r="AM56" s="446">
        <f t="shared" si="46"/>
        <v>3.8987433260895408</v>
      </c>
      <c r="AN56" s="282"/>
      <c r="AO56" s="278">
        <f>IFERROR(MAX(AL56-VTPB_NICT!Q56,0),0)</f>
        <v>3.4280591392075959</v>
      </c>
      <c r="AP56" s="278">
        <f>IFERROR(MAX(AM56-VTPB_NICT!R56,0),0)</f>
        <v>3.0852532252868361</v>
      </c>
    </row>
    <row r="57" spans="1:45" x14ac:dyDescent="0.25">
      <c r="A57">
        <v>26</v>
      </c>
      <c r="B57" s="54" t="s">
        <v>75</v>
      </c>
      <c r="C57" s="241"/>
      <c r="D57" s="52"/>
      <c r="E57" s="52"/>
      <c r="F57" s="52"/>
      <c r="G57" s="52"/>
      <c r="H57" s="67"/>
      <c r="I57" s="67"/>
      <c r="J57" s="204"/>
      <c r="K57" s="380"/>
      <c r="L57" s="381"/>
      <c r="M57" s="52"/>
      <c r="N57" s="52"/>
      <c r="O57" s="52"/>
      <c r="P57" s="52"/>
      <c r="Q57" s="52"/>
      <c r="R57" s="52"/>
      <c r="S57" s="52"/>
      <c r="T57" s="52"/>
      <c r="U57" s="52"/>
      <c r="V57" s="453">
        <f>V41</f>
        <v>0.46889659827290503</v>
      </c>
      <c r="W57" s="454">
        <f>W41</f>
        <v>0.42200693844561454</v>
      </c>
      <c r="X57" s="54"/>
      <c r="Y57" s="414"/>
      <c r="Z57" s="83">
        <f>Z41</f>
        <v>0.46889659827290503</v>
      </c>
      <c r="AA57" s="54"/>
      <c r="AB57" s="54"/>
      <c r="AC57" s="83">
        <f>AC41</f>
        <v>0.42200693844561454</v>
      </c>
      <c r="AD57" s="453">
        <f>AD41</f>
        <v>0.46889659827290503</v>
      </c>
      <c r="AE57" s="454">
        <f>AE41</f>
        <v>0.42200693844561454</v>
      </c>
      <c r="AF57" s="54"/>
      <c r="AG57" s="414"/>
      <c r="AH57" s="83">
        <f>AH41</f>
        <v>0.46889659827290503</v>
      </c>
      <c r="AI57" s="54"/>
      <c r="AJ57" s="54"/>
      <c r="AK57" s="83">
        <f>AK41</f>
        <v>0.42200693844561454</v>
      </c>
      <c r="AL57" s="453">
        <f>AL41</f>
        <v>0.46889659827290503</v>
      </c>
      <c r="AM57" s="454">
        <f>AM41</f>
        <v>0.42200693844561454</v>
      </c>
      <c r="AN57" s="83"/>
      <c r="AO57" s="278">
        <f>IFERROR(MAX(AL57-VTPB_NICT!Q57,0),0)</f>
        <v>0.37105924169635401</v>
      </c>
      <c r="AP57" s="278">
        <f>IFERROR(MAX(AM57-VTPB_NICT!R57,0),0)</f>
        <v>0.33395331752671864</v>
      </c>
    </row>
    <row r="58" spans="1:45" x14ac:dyDescent="0.25">
      <c r="A58">
        <v>27</v>
      </c>
      <c r="B58" s="54" t="s">
        <v>76</v>
      </c>
      <c r="C58" s="241"/>
      <c r="D58" s="52"/>
      <c r="E58" s="52"/>
      <c r="F58" s="52"/>
      <c r="G58" s="52"/>
      <c r="H58" s="67"/>
      <c r="I58" s="67"/>
      <c r="J58" s="204"/>
      <c r="K58" s="380"/>
      <c r="L58" s="381"/>
      <c r="M58" s="52"/>
      <c r="N58" s="52"/>
      <c r="O58" s="52"/>
      <c r="P58" s="52"/>
      <c r="Q58" s="52"/>
      <c r="R58" s="52"/>
      <c r="S58" s="52"/>
      <c r="T58" s="52"/>
      <c r="U58" s="52"/>
      <c r="V58" s="453">
        <f>V53</f>
        <v>4.3319370289883787</v>
      </c>
      <c r="W58" s="454">
        <f>W53</f>
        <v>3.8987433260895408</v>
      </c>
      <c r="X58" s="54"/>
      <c r="Y58" s="414"/>
      <c r="Z58" s="83">
        <f>Z53</f>
        <v>4.3319370289883787</v>
      </c>
      <c r="AA58" s="54"/>
      <c r="AB58" s="54"/>
      <c r="AC58" s="83">
        <f>AC53</f>
        <v>3.8987433260895408</v>
      </c>
      <c r="AD58" s="453">
        <f>AD53</f>
        <v>4.3319370289883787</v>
      </c>
      <c r="AE58" s="454">
        <f>AE53</f>
        <v>3.8987433260895408</v>
      </c>
      <c r="AF58" s="54"/>
      <c r="AG58" s="414"/>
      <c r="AH58" s="83">
        <f>AH53</f>
        <v>4.3319370289883787</v>
      </c>
      <c r="AI58" s="54"/>
      <c r="AJ58" s="54"/>
      <c r="AK58" s="83">
        <f>AK53</f>
        <v>3.8987433260895408</v>
      </c>
      <c r="AL58" s="453">
        <f>AL53</f>
        <v>4.3319370289883787</v>
      </c>
      <c r="AM58" s="454">
        <f>AM53</f>
        <v>3.8987433260895408</v>
      </c>
      <c r="AN58" s="83"/>
      <c r="AO58" s="278">
        <f>IFERROR(MAX(AL58-VTPB_NICT!Q58,0),0)</f>
        <v>3.4280591392075959</v>
      </c>
      <c r="AP58" s="278">
        <f>IFERROR(MAX(AM58-VTPB_NICT!R58,0),0)</f>
        <v>3.0852532252868361</v>
      </c>
    </row>
    <row r="59" spans="1:45" x14ac:dyDescent="0.25">
      <c r="C59" s="39"/>
      <c r="D59" s="38"/>
      <c r="E59" s="39"/>
      <c r="F59" s="39"/>
      <c r="G59" s="37"/>
      <c r="H59" s="55"/>
      <c r="I59" s="55"/>
      <c r="J59" s="205"/>
      <c r="K59" s="40"/>
      <c r="P59" s="29" t="s">
        <v>235</v>
      </c>
      <c r="Q59" s="79">
        <f>SUMPRODUCT(Q32:Q56,$H32:$H56)</f>
        <v>302121701.52250004</v>
      </c>
      <c r="T59" s="29"/>
      <c r="U59" s="79">
        <f>SUMPRODUCT(U32:U56,$I32:$I56)</f>
        <v>21064298.964819022</v>
      </c>
      <c r="V59" s="455">
        <f>SUMPRODUCT(V32:V56,$H$32:$H$56)</f>
        <v>331337782.69155538</v>
      </c>
      <c r="W59" s="456">
        <f>SUMPRODUCT(W32:W56,$I$32:$I$56)</f>
        <v>23253307.190635666</v>
      </c>
      <c r="X59" s="242"/>
      <c r="Y59" s="242"/>
      <c r="Z59" s="79">
        <f>SUMPRODUCT(Z32:Z56,$H32:$H56)</f>
        <v>331337782.69155538</v>
      </c>
      <c r="AA59" s="242"/>
      <c r="AB59" s="242"/>
      <c r="AC59" s="79">
        <f>SUMPRODUCT(AC32:AC56,I32:I56)</f>
        <v>23253307.190635666</v>
      </c>
      <c r="AD59" s="455">
        <f>SUMPRODUCT(AD32:AD56,$H32:$H56)</f>
        <v>331337782.69155538</v>
      </c>
      <c r="AE59" s="456">
        <f>SUMPRODUCT(AE32:AE56,$I$32:$I$56)</f>
        <v>23253307.190635666</v>
      </c>
      <c r="AF59" s="242"/>
      <c r="AG59" s="242"/>
      <c r="AH59" s="79">
        <f>SUMPRODUCT(AH32:AH56,$H32:$H56)</f>
        <v>331337782.69155538</v>
      </c>
      <c r="AI59" s="242"/>
      <c r="AJ59" s="242"/>
      <c r="AK59" s="79">
        <f>SUMPRODUCT(AK32:AK56,$I$32:$I$56)</f>
        <v>23253307.190635666</v>
      </c>
      <c r="AL59" s="455">
        <f>SUMPRODUCT(AL32:AL56,$H32:$H56)</f>
        <v>331337782.69155538</v>
      </c>
      <c r="AM59" s="456">
        <f>SUMPRODUCT(AM32:AM56,$I$32:$I$56)</f>
        <v>23253307.190635666</v>
      </c>
      <c r="AN59" s="79"/>
      <c r="AO59" s="242"/>
      <c r="AP59" s="242"/>
    </row>
    <row r="60" spans="1:45" ht="15.75" thickBot="1" x14ac:dyDescent="0.3">
      <c r="A60" s="33" t="s">
        <v>115</v>
      </c>
      <c r="H60" s="55"/>
      <c r="J60" s="205"/>
      <c r="U60" s="46">
        <f>Q59+U59-$C$71</f>
        <v>-3483029.9548025131</v>
      </c>
      <c r="V60" s="440"/>
      <c r="W60" s="441">
        <f>V59+W59-$C$71</f>
        <v>27922059.440069497</v>
      </c>
      <c r="X60" s="242"/>
      <c r="Y60" s="242"/>
      <c r="Z60" s="46">
        <f>AC59+Z59-V59-W59</f>
        <v>0</v>
      </c>
      <c r="AA60" s="415"/>
      <c r="AB60" s="415"/>
      <c r="AC60" s="46"/>
      <c r="AD60" s="457"/>
      <c r="AE60" s="441">
        <f>AD59+AE59-$C$71</f>
        <v>27922059.440069497</v>
      </c>
      <c r="AF60" s="242"/>
      <c r="AG60" s="242"/>
      <c r="AH60" s="46">
        <f>AK59+AH59-AD59-AE59</f>
        <v>0</v>
      </c>
      <c r="AI60" s="415"/>
      <c r="AJ60" s="415"/>
      <c r="AK60" s="46"/>
      <c r="AL60" s="457"/>
      <c r="AM60" s="441">
        <f>AL59+AM59-$C$71</f>
        <v>27922059.440069497</v>
      </c>
      <c r="AN60" s="46"/>
      <c r="AO60" s="78"/>
      <c r="AP60" s="78"/>
    </row>
    <row r="61" spans="1:45" ht="45.75" thickBot="1" x14ac:dyDescent="0.3">
      <c r="A61" s="35" t="s">
        <v>48</v>
      </c>
      <c r="B61" s="35" t="s">
        <v>123</v>
      </c>
      <c r="C61" s="35" t="str">
        <f>+E31</f>
        <v>Relevant technical capacity (TVK)</v>
      </c>
      <c r="D61" s="35" t="s">
        <v>63</v>
      </c>
      <c r="E61" s="35" t="s">
        <v>64</v>
      </c>
      <c r="F61" s="35" t="s">
        <v>53</v>
      </c>
      <c r="G61" s="35" t="s">
        <v>54</v>
      </c>
      <c r="H61" s="55"/>
      <c r="O61" s="596" t="s">
        <v>286</v>
      </c>
      <c r="P61" s="596"/>
      <c r="Q61" s="596"/>
      <c r="R61" s="596"/>
      <c r="S61" s="596"/>
      <c r="T61" s="596"/>
      <c r="U61" s="596"/>
      <c r="V61" s="596"/>
      <c r="W61" s="596"/>
      <c r="X61" s="416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459"/>
      <c r="AM61" s="459"/>
      <c r="AN61" s="459"/>
      <c r="AO61" s="459"/>
    </row>
    <row r="62" spans="1:45" ht="15.75" thickBot="1" x14ac:dyDescent="0.3">
      <c r="A62">
        <f>1</f>
        <v>1</v>
      </c>
      <c r="B62" t="s">
        <v>83</v>
      </c>
      <c r="C62" s="66">
        <f>SUMIF($C$32:$C$56,$B62,E$32:E$56)</f>
        <v>50014969</v>
      </c>
      <c r="D62" s="46">
        <f t="shared" ref="D62:D68" si="55">+SUMPRODUCT(($C$32:$C$56=B62)*$D$32:$D$56*$E$32:$E$56)/C62</f>
        <v>381.59447</v>
      </c>
      <c r="E62" s="37">
        <f t="shared" ref="E62:E68" si="56">D62/$D$32</f>
        <v>1</v>
      </c>
      <c r="F62" s="46">
        <f>SUMIF($C$32:$C$56,$B62,H$32:H$56)</f>
        <v>48558893.100000009</v>
      </c>
      <c r="G62" s="46">
        <f>SUMIF($C$32:$C$56,$B62,I$32:I$56)</f>
        <v>0</v>
      </c>
      <c r="H62" s="55"/>
      <c r="O62" s="417"/>
      <c r="P62" s="416"/>
      <c r="Q62" s="416"/>
      <c r="R62" s="418" t="s">
        <v>242</v>
      </c>
      <c r="S62" s="419">
        <f>U60+U20</f>
        <v>-32893016.68041952</v>
      </c>
      <c r="T62" s="416"/>
      <c r="U62" s="420">
        <f>W60+W20</f>
        <v>-5.9604644775390625E-8</v>
      </c>
      <c r="V62" s="421" t="b">
        <f>ABS(U62)&lt;0.001</f>
        <v>1</v>
      </c>
      <c r="W62" s="421"/>
      <c r="X62" s="416"/>
      <c r="Y62" s="417"/>
      <c r="Z62" s="416"/>
      <c r="AA62" s="418" t="s">
        <v>242</v>
      </c>
      <c r="AB62" s="419">
        <f>Z60+Z20</f>
        <v>0</v>
      </c>
      <c r="AC62" s="86"/>
      <c r="AD62" s="420">
        <f>AE60+AE20</f>
        <v>-5.9604644775390625E-8</v>
      </c>
      <c r="AE62" s="421" t="b">
        <f>ABS(AD62)&lt;0.001</f>
        <v>1</v>
      </c>
      <c r="AF62" s="416"/>
      <c r="AG62" s="417"/>
      <c r="AH62" s="416"/>
      <c r="AI62" s="418" t="s">
        <v>242</v>
      </c>
      <c r="AJ62" s="419">
        <f>AH60+AH20</f>
        <v>0</v>
      </c>
      <c r="AK62" s="86"/>
      <c r="AL62" s="420">
        <f>AM60+AM20</f>
        <v>-5.9604644775390625E-8</v>
      </c>
      <c r="AM62" s="421" t="b">
        <f>ABS(AL62)&lt;0.001</f>
        <v>1</v>
      </c>
      <c r="AN62" s="421"/>
      <c r="AO62" s="421"/>
      <c r="AP62" s="279"/>
      <c r="AQ62" s="280"/>
      <c r="AR62" s="280"/>
      <c r="AS62" s="280"/>
    </row>
    <row r="63" spans="1:45" ht="15.75" thickBot="1" x14ac:dyDescent="0.3">
      <c r="A63">
        <v>2</v>
      </c>
      <c r="B63" t="s">
        <v>79</v>
      </c>
      <c r="C63" s="66">
        <f t="shared" ref="C63:C68" si="57">SUMIF($C$32:$C$56,$B63,E$32:E$56)</f>
        <v>4688610</v>
      </c>
      <c r="D63" s="46">
        <f t="shared" si="55"/>
        <v>238</v>
      </c>
      <c r="E63" s="37">
        <f t="shared" si="56"/>
        <v>0.62369876586523909</v>
      </c>
      <c r="F63" s="46">
        <f>SUMIF($C$32:$C$56,$B63,H$32:H$56)</f>
        <v>3382423.6799999997</v>
      </c>
      <c r="G63" s="46">
        <f t="shared" ref="F63:G68" si="58">SUMIF($C$32:$C$56,$B63,I$32:I$56)</f>
        <v>0</v>
      </c>
      <c r="H63" s="55"/>
      <c r="O63" s="57"/>
      <c r="R63" s="244" t="s">
        <v>238</v>
      </c>
      <c r="S63" s="247">
        <f>1-S62/(SUMPRODUCT((1-P9:P18)*Q9:Q18*H9:H18)+SUMPRODUCT((1-T9:T18)*U9:U18*I9:I18)+SUMPRODUCT((1-P32:P56)*Q32:Q56*H32:H56)+SUMPRODUCT((1-T32:T56)*U32:U56*I32:I56))</f>
        <v>1.103920298010993</v>
      </c>
      <c r="Y63" s="57"/>
      <c r="AA63" s="244" t="s">
        <v>238</v>
      </c>
      <c r="AB63" s="283">
        <f>1-AB62/(SUMPRODUCT((1-Y9:Y18)*Z9:Z18*H9:H18)+SUMPRODUCT((1-AB9:AB18)*AC9:AC18*I9:I18)+SUMPRODUCT((1-Y32:Y56)*Z32:Z56*H32:H56)+SUMPRODUCT((1-AB32:AB56)*AC32:AC56*I32:I56))</f>
        <v>1</v>
      </c>
      <c r="AG63" s="57"/>
      <c r="AI63" s="244" t="s">
        <v>238</v>
      </c>
      <c r="AJ63" s="458">
        <f>1-AJ62/(SUMPRODUCT((1-AG9:AG18)*AH9:AH18*H9:H18)+SUMPRODUCT((1-AJ9:AJ18)*AK9:AK18*I9:I18)+SUMPRODUCT((1-AG32:AG56)*AH32:AH56*H32:H56)+SUMPRODUCT((1-AJ32:AJ56)*AK32:AK56*I32:I56))</f>
        <v>1</v>
      </c>
      <c r="AP63" s="280"/>
      <c r="AQ63" s="280"/>
      <c r="AR63" s="280"/>
      <c r="AS63" s="280"/>
    </row>
    <row r="64" spans="1:45" x14ac:dyDescent="0.25">
      <c r="A64">
        <v>3</v>
      </c>
      <c r="B64" t="str">
        <f>+C33</f>
        <v>Exit East</v>
      </c>
      <c r="C64" s="66">
        <f t="shared" si="57"/>
        <v>17769300</v>
      </c>
      <c r="D64" s="46">
        <f t="shared" si="55"/>
        <v>158.67309348145398</v>
      </c>
      <c r="E64" s="37">
        <f t="shared" si="56"/>
        <v>0.41581601924538891</v>
      </c>
      <c r="F64" s="46">
        <f t="shared" si="58"/>
        <v>11814771.27</v>
      </c>
      <c r="G64" s="46">
        <f t="shared" si="58"/>
        <v>0</v>
      </c>
      <c r="H64" s="55"/>
      <c r="AA64" s="262"/>
    </row>
    <row r="65" spans="1:37" x14ac:dyDescent="0.25">
      <c r="A65">
        <v>5</v>
      </c>
      <c r="B65" t="s">
        <v>78</v>
      </c>
      <c r="C65" s="66">
        <f t="shared" si="57"/>
        <v>22933825</v>
      </c>
      <c r="D65" s="46">
        <f t="shared" si="55"/>
        <v>272.1294049291821</v>
      </c>
      <c r="E65" s="37">
        <f t="shared" si="56"/>
        <v>0.71313770592425541</v>
      </c>
      <c r="F65" s="46">
        <f t="shared" si="58"/>
        <v>15925865.369999999</v>
      </c>
      <c r="G65" s="46">
        <f t="shared" si="58"/>
        <v>6468513.7799999993</v>
      </c>
      <c r="H65" s="55"/>
      <c r="R65" s="29" t="s">
        <v>246</v>
      </c>
      <c r="S65" s="38">
        <f>SUM(Overview!R9:R14,Overview!R21,Overview!R23,Overview!R30:R31)*1000+SUM(Overview!R46:R47,Overview!R51)*1000</f>
        <v>82366302.331672192</v>
      </c>
      <c r="T65" s="57">
        <f>S65/S67</f>
        <v>0.19110510981826498</v>
      </c>
      <c r="U65" s="38"/>
      <c r="V65" s="57"/>
      <c r="AA65" s="29"/>
      <c r="AB65" s="38"/>
      <c r="AC65" s="57"/>
      <c r="AI65" s="29"/>
      <c r="AJ65" s="38"/>
      <c r="AK65" s="57"/>
    </row>
    <row r="66" spans="1:37" x14ac:dyDescent="0.25">
      <c r="A66">
        <v>6</v>
      </c>
      <c r="B66" t="s">
        <v>80</v>
      </c>
      <c r="C66" s="66">
        <f t="shared" si="57"/>
        <v>31999754</v>
      </c>
      <c r="D66" s="46">
        <f t="shared" si="55"/>
        <v>36.605677680183724</v>
      </c>
      <c r="E66" s="37">
        <f t="shared" si="56"/>
        <v>9.5928218457106376E-2</v>
      </c>
      <c r="F66" s="46">
        <f>SUMIF($C$32:$C$56,$B66,H$32:H$56)</f>
        <v>24985467</v>
      </c>
      <c r="G66" s="46">
        <f t="shared" si="58"/>
        <v>7014292</v>
      </c>
      <c r="H66" s="55"/>
      <c r="S66" s="38">
        <f>SUM(Overview!R15:'Overview'!R20,Overview!R22,Overview!R24:'Overview'!R26,Overview!R29,Overview!R32)*1000+SUM(Overview!R48:R50)*1000</f>
        <v>348633697.66832775</v>
      </c>
      <c r="T66" s="57">
        <f>1-T65</f>
        <v>0.80889489018173499</v>
      </c>
      <c r="U66" s="38"/>
      <c r="V66" s="57"/>
      <c r="AA66" s="262"/>
      <c r="AB66" s="38"/>
      <c r="AC66" s="57"/>
      <c r="AJ66" s="38"/>
      <c r="AK66" s="57"/>
    </row>
    <row r="67" spans="1:37" x14ac:dyDescent="0.25">
      <c r="A67">
        <v>7</v>
      </c>
      <c r="B67" t="s">
        <v>84</v>
      </c>
      <c r="C67" s="66">
        <f t="shared" si="57"/>
        <v>471871</v>
      </c>
      <c r="D67" s="46">
        <f t="shared" si="55"/>
        <v>338.18434852817825</v>
      </c>
      <c r="E67" s="37">
        <f t="shared" si="56"/>
        <v>0.88624017147884304</v>
      </c>
      <c r="F67" s="46">
        <f t="shared" si="58"/>
        <v>471871</v>
      </c>
      <c r="G67" s="46">
        <f t="shared" si="58"/>
        <v>0</v>
      </c>
      <c r="H67" s="55"/>
      <c r="S67" s="38">
        <f>S66+S65</f>
        <v>430999999.99999994</v>
      </c>
      <c r="U67" s="38"/>
      <c r="AA67" s="262"/>
      <c r="AB67" s="38"/>
      <c r="AJ67" s="38"/>
    </row>
    <row r="68" spans="1:37" x14ac:dyDescent="0.25">
      <c r="A68">
        <v>8</v>
      </c>
      <c r="B68" t="s">
        <v>82</v>
      </c>
      <c r="C68" s="66">
        <f t="shared" si="57"/>
        <v>9039400</v>
      </c>
      <c r="D68" s="46">
        <f t="shared" si="55"/>
        <v>66.858154302276688</v>
      </c>
      <c r="E68" s="37">
        <f t="shared" si="56"/>
        <v>0.17520734590906595</v>
      </c>
      <c r="F68" s="46">
        <f t="shared" si="58"/>
        <v>8700218</v>
      </c>
      <c r="G68" s="46">
        <f t="shared" si="58"/>
        <v>0</v>
      </c>
      <c r="H68" s="55"/>
      <c r="Z68" s="38"/>
      <c r="AH68" s="38"/>
    </row>
    <row r="69" spans="1:37" x14ac:dyDescent="0.25">
      <c r="F69" s="38"/>
      <c r="G69" s="38"/>
      <c r="H69" s="55"/>
    </row>
    <row r="70" spans="1:37" x14ac:dyDescent="0.25">
      <c r="B70" s="29" t="s">
        <v>323</v>
      </c>
      <c r="C70" s="53">
        <f>1-EX_split_entry_theor</f>
        <v>0.74225258567919572</v>
      </c>
      <c r="R70" s="29"/>
      <c r="S70" s="38"/>
      <c r="T70" s="57"/>
      <c r="V70" s="52"/>
    </row>
    <row r="71" spans="1:37" x14ac:dyDescent="0.25">
      <c r="B71" s="29" t="s">
        <v>308</v>
      </c>
      <c r="C71" s="365">
        <f>costs_capacity-C25</f>
        <v>326669030.44212157</v>
      </c>
      <c r="S71" s="38"/>
      <c r="T71" s="57"/>
    </row>
    <row r="72" spans="1:37" x14ac:dyDescent="0.25">
      <c r="B72" s="29" t="s">
        <v>309</v>
      </c>
      <c r="C72" s="365">
        <f>N3-C26</f>
        <v>259124045.14531475</v>
      </c>
      <c r="S72" s="38"/>
    </row>
    <row r="73" spans="1:37" x14ac:dyDescent="0.25">
      <c r="B73" s="29" t="s">
        <v>319</v>
      </c>
      <c r="C73" s="66">
        <f>C72/(SUMPRODUCT($E$62:$E$68,$F$62:$F$68)+SUMPRODUCT($E$62:$E$68*$G$62:$G$68*(1-discount_DZK)))</f>
        <v>3.4079491209996102</v>
      </c>
    </row>
    <row r="74" spans="1:37" x14ac:dyDescent="0.25">
      <c r="D74" s="59"/>
    </row>
  </sheetData>
  <mergeCells count="1">
    <mergeCell ref="O61:W6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tabColor theme="3" tint="0.39997558519241921"/>
  </sheetPr>
  <dimension ref="A1:V74"/>
  <sheetViews>
    <sheetView zoomScale="85" zoomScaleNormal="85" workbookViewId="0">
      <pane ySplit="1" topLeftCell="A2" activePane="bottomLeft" state="frozen"/>
      <selection activeCell="G21" sqref="G21"/>
      <selection pane="bottomLeft" activeCell="G21" sqref="G21"/>
    </sheetView>
  </sheetViews>
  <sheetFormatPr baseColWidth="10" defaultColWidth="11.42578125" defaultRowHeight="15" x14ac:dyDescent="0.25"/>
  <cols>
    <col min="1" max="1" width="6.5703125" customWidth="1"/>
    <col min="2" max="2" width="30.5703125" customWidth="1"/>
    <col min="3" max="3" width="16.5703125" customWidth="1"/>
    <col min="4" max="4" width="12.85546875" customWidth="1"/>
    <col min="5" max="5" width="18.5703125" bestFit="1" customWidth="1"/>
    <col min="8" max="9" width="11.42578125" style="38" customWidth="1"/>
    <col min="10" max="10" width="12.140625" customWidth="1"/>
    <col min="11" max="11" width="12.42578125" customWidth="1"/>
    <col min="14" max="14" width="12.140625" customWidth="1"/>
    <col min="17" max="18" width="13.140625" customWidth="1"/>
    <col min="20" max="20" width="18.5703125" customWidth="1"/>
    <col min="21" max="21" width="18.85546875" customWidth="1"/>
  </cols>
  <sheetData>
    <row r="1" spans="1:21" ht="18" x14ac:dyDescent="0.25">
      <c r="A1" s="115" t="s">
        <v>321</v>
      </c>
      <c r="B1" s="115"/>
      <c r="C1" s="115"/>
      <c r="D1" s="115"/>
      <c r="E1" s="115"/>
      <c r="F1" s="115"/>
      <c r="G1" s="115"/>
      <c r="H1" s="116"/>
      <c r="I1" s="116"/>
      <c r="J1" s="115"/>
      <c r="K1" s="115"/>
      <c r="L1" s="115"/>
      <c r="M1" s="115"/>
      <c r="N1" s="115"/>
      <c r="O1" s="115"/>
      <c r="P1" s="115"/>
      <c r="Q1" s="115"/>
      <c r="R1" s="115"/>
    </row>
    <row r="2" spans="1:21" x14ac:dyDescent="0.25">
      <c r="B2" s="29" t="s">
        <v>291</v>
      </c>
      <c r="C2" s="30">
        <f>costs_GCA_var+costs_TAG_var</f>
        <v>91000000</v>
      </c>
      <c r="D2" t="s">
        <v>47</v>
      </c>
      <c r="G2" s="52"/>
      <c r="H2" s="46"/>
    </row>
    <row r="3" spans="1:21" x14ac:dyDescent="0.25">
      <c r="B3" s="29" t="s">
        <v>314</v>
      </c>
      <c r="C3" s="30">
        <f>(costs_GCA_var+costs_TAG_var)</f>
        <v>91000000</v>
      </c>
      <c r="D3" t="s">
        <v>47</v>
      </c>
      <c r="G3" s="52"/>
      <c r="H3" s="46"/>
    </row>
    <row r="4" spans="1:21" x14ac:dyDescent="0.25">
      <c r="G4" s="52"/>
      <c r="H4" s="46"/>
    </row>
    <row r="5" spans="1:21" x14ac:dyDescent="0.25">
      <c r="I5"/>
    </row>
    <row r="6" spans="1:21" x14ac:dyDescent="0.25">
      <c r="H6" s="63" t="s">
        <v>70</v>
      </c>
      <c r="I6" s="63" t="s">
        <v>71</v>
      </c>
    </row>
    <row r="7" spans="1:21" x14ac:dyDescent="0.25">
      <c r="A7" s="33" t="s">
        <v>116</v>
      </c>
      <c r="C7" s="85"/>
      <c r="D7" s="382"/>
      <c r="E7" s="382" t="s">
        <v>87</v>
      </c>
      <c r="F7" s="382"/>
      <c r="G7" s="382"/>
      <c r="H7" s="422" t="s">
        <v>87</v>
      </c>
      <c r="I7" s="422" t="s">
        <v>87</v>
      </c>
      <c r="J7" s="382"/>
      <c r="K7" s="382"/>
      <c r="L7" s="382"/>
      <c r="M7" s="382"/>
      <c r="N7" s="382"/>
      <c r="O7" s="382"/>
      <c r="P7" s="382"/>
      <c r="Q7" s="52"/>
      <c r="R7" s="52"/>
    </row>
    <row r="8" spans="1:21" ht="45" x14ac:dyDescent="0.25">
      <c r="A8" s="35" t="s">
        <v>48</v>
      </c>
      <c r="B8" s="35" t="s">
        <v>49</v>
      </c>
      <c r="C8" s="50" t="s">
        <v>50</v>
      </c>
      <c r="D8" s="50" t="s">
        <v>124</v>
      </c>
      <c r="E8" s="50" t="s">
        <v>324</v>
      </c>
      <c r="F8" s="50" t="s">
        <v>51</v>
      </c>
      <c r="G8" s="50" t="s">
        <v>52</v>
      </c>
      <c r="H8" s="411" t="s">
        <v>148</v>
      </c>
      <c r="I8" s="411" t="s">
        <v>149</v>
      </c>
      <c r="J8" s="50" t="s">
        <v>55</v>
      </c>
      <c r="K8" s="45" t="s">
        <v>119</v>
      </c>
      <c r="L8" s="50" t="s">
        <v>90</v>
      </c>
      <c r="M8" s="50" t="s">
        <v>330</v>
      </c>
      <c r="N8" s="45" t="s">
        <v>120</v>
      </c>
      <c r="O8" s="50" t="s">
        <v>91</v>
      </c>
      <c r="P8" s="50" t="s">
        <v>329</v>
      </c>
      <c r="Q8" s="50" t="s">
        <v>289</v>
      </c>
      <c r="R8" s="50" t="s">
        <v>290</v>
      </c>
      <c r="T8" s="368" t="s">
        <v>312</v>
      </c>
      <c r="U8" s="368" t="s">
        <v>313</v>
      </c>
    </row>
    <row r="9" spans="1:21" x14ac:dyDescent="0.25">
      <c r="A9">
        <f>1</f>
        <v>1</v>
      </c>
      <c r="B9" t="s">
        <v>56</v>
      </c>
      <c r="C9" s="36" t="s">
        <v>85</v>
      </c>
      <c r="D9" s="263">
        <f>'Reference VO 2017'!L5</f>
        <v>381.59447</v>
      </c>
      <c r="E9" s="46">
        <f>'Reference VO 2017'!M5</f>
        <v>17377622</v>
      </c>
      <c r="F9" s="241">
        <f t="shared" ref="F9:F15" si="0">E9/SUM($E$9:$E$18)</f>
        <v>0.1170644761682887</v>
      </c>
      <c r="G9" s="241">
        <f>D9*F9</f>
        <v>44.671156739265761</v>
      </c>
      <c r="H9" s="46">
        <f>SUMIFS(Forecasts!$G$5:$G$34,Forecasts!$B$5:$B$34,"Entry",Forecasts!$E$5:$E$34,$B9,Forecasts!$C$5:$C$34,H$6)*GCV*1000</f>
        <v>0</v>
      </c>
      <c r="I9" s="46">
        <f>SUMIFS(Forecasts!$G$5:$G$34,Forecasts!$B$5:$B$34,"Entry",Forecasts!$E$5:$E$34,$B9,Forecasts!$C$5:$C$34,I$6)*GCV*1000</f>
        <v>521331</v>
      </c>
      <c r="J9" s="51">
        <f t="shared" ref="J9:J18" si="1">SUMIF($B$22,C9,$E$22)</f>
        <v>1</v>
      </c>
      <c r="K9" s="51">
        <v>1</v>
      </c>
      <c r="L9" s="263">
        <f>base_tariff_entry_comm*K9*J9</f>
        <v>0.22841289175056448</v>
      </c>
      <c r="M9" s="263">
        <f>'Reference VO 2017'!N5</f>
        <v>1.3</v>
      </c>
      <c r="N9" s="51">
        <f t="shared" ref="N9:N17" si="2">1-discount_DZK</f>
        <v>0.9</v>
      </c>
      <c r="O9" s="263">
        <f t="shared" ref="O9:O18" si="3">L9*N9</f>
        <v>0.20557160257550802</v>
      </c>
      <c r="P9" s="263">
        <f>'Reference VO 2017'!O5</f>
        <v>0.62</v>
      </c>
      <c r="Q9" s="83">
        <f t="shared" ref="Q9:Q18" si="4">L9*rescaling_entry_comm</f>
        <v>0.24201318427025884</v>
      </c>
      <c r="R9" s="83">
        <f>O9*rescaling_entry_comm</f>
        <v>0.21781186584323295</v>
      </c>
      <c r="T9" s="369">
        <f>Q9*VTPB!H9</f>
        <v>0</v>
      </c>
      <c r="U9" s="370">
        <f>R9*VTPB!I9</f>
        <v>115731.01764108501</v>
      </c>
    </row>
    <row r="10" spans="1:21" x14ac:dyDescent="0.25">
      <c r="A10">
        <f>A9+1</f>
        <v>2</v>
      </c>
      <c r="B10" t="s">
        <v>58</v>
      </c>
      <c r="C10" s="36" t="s">
        <v>85</v>
      </c>
      <c r="D10" s="263">
        <f>'Reference VO 2017'!L6</f>
        <v>0</v>
      </c>
      <c r="E10" s="46">
        <f>'Reference VO 2017'!M6</f>
        <v>96080396</v>
      </c>
      <c r="F10" s="241">
        <f t="shared" si="0"/>
        <v>0.6472462819010415</v>
      </c>
      <c r="G10" s="241">
        <f t="shared" ref="G10:G18" si="5">D10*F10</f>
        <v>0</v>
      </c>
      <c r="H10" s="46">
        <f>SUMIFS(Forecasts!$G$5:$G$34,Forecasts!$B$5:$B$34,"Entry",Forecasts!$E$5:$E$34,$B10,Forecasts!$C$5:$C$34,H$6)*GCV*1000</f>
        <v>67288392.5</v>
      </c>
      <c r="I10" s="46">
        <f>SUMIFS(Forecasts!$G$5:$G$34,Forecasts!$B$5:$B$34,"Entry",Forecasts!$E$5:$E$34,$B10,Forecasts!$C$5:$C$34,I$6)*GCV*1000</f>
        <v>0</v>
      </c>
      <c r="J10" s="51">
        <f t="shared" si="1"/>
        <v>1</v>
      </c>
      <c r="K10" s="51">
        <v>1</v>
      </c>
      <c r="L10" s="263">
        <f t="shared" ref="L10:L18" si="6">base_tariff_entry_comm*K10*J10</f>
        <v>0.22841289175056448</v>
      </c>
      <c r="M10" s="263">
        <f>'Reference VO 2017'!N6</f>
        <v>0.77</v>
      </c>
      <c r="N10" s="51">
        <f t="shared" si="2"/>
        <v>0.9</v>
      </c>
      <c r="O10" s="263">
        <f t="shared" si="3"/>
        <v>0.20557160257550802</v>
      </c>
      <c r="P10" s="263">
        <f>'Reference VO 2017'!O6</f>
        <v>0</v>
      </c>
      <c r="Q10" s="83">
        <f t="shared" si="4"/>
        <v>0.24201318427025884</v>
      </c>
      <c r="R10" s="83">
        <f t="shared" ref="R10:R18" si="7">O10*rescaling_entry_comm</f>
        <v>0.21781186584323295</v>
      </c>
      <c r="T10" s="371">
        <f>Q10*VTPB!H10</f>
        <v>19814104.455970928</v>
      </c>
      <c r="U10" s="372">
        <f>R10*VTPB!I10</f>
        <v>0</v>
      </c>
    </row>
    <row r="11" spans="1:21" x14ac:dyDescent="0.25">
      <c r="A11">
        <f>A10+1</f>
        <v>3</v>
      </c>
      <c r="B11" t="s">
        <v>59</v>
      </c>
      <c r="C11" s="36" t="s">
        <v>85</v>
      </c>
      <c r="D11" s="263">
        <f>'Reference VO 2017'!L7</f>
        <v>242</v>
      </c>
      <c r="E11" s="46">
        <f>'Reference VO 2017'!M7</f>
        <v>10349306</v>
      </c>
      <c r="F11" s="241">
        <f t="shared" si="0"/>
        <v>6.9718174649864476E-2</v>
      </c>
      <c r="G11" s="241">
        <f t="shared" si="5"/>
        <v>16.871798265267202</v>
      </c>
      <c r="H11" s="46">
        <f>SUMIFS(Forecasts!$G$5:$G$34,Forecasts!$B$5:$B$34,"Entry",Forecasts!$E$5:$E$34,$B11,Forecasts!$C$5:$C$34,H$6)*GCV*1000</f>
        <v>10319273.196481112</v>
      </c>
      <c r="I11" s="46">
        <f>SUMIFS(Forecasts!$G$5:$G$34,Forecasts!$B$5:$B$34,"Entry",Forecasts!$E$5:$E$34,$B11,Forecasts!$C$5:$C$34,I$6)*GCV*1000</f>
        <v>0</v>
      </c>
      <c r="J11" s="51">
        <f t="shared" si="1"/>
        <v>1</v>
      </c>
      <c r="K11" s="51">
        <v>1</v>
      </c>
      <c r="L11" s="263">
        <f t="shared" si="6"/>
        <v>0.22841289175056448</v>
      </c>
      <c r="M11" s="263">
        <f>'Reference VO 2017'!N7</f>
        <v>1.3</v>
      </c>
      <c r="N11" s="51">
        <f t="shared" si="2"/>
        <v>0.9</v>
      </c>
      <c r="O11" s="263">
        <f t="shared" si="3"/>
        <v>0.20557160257550802</v>
      </c>
      <c r="P11" s="263">
        <f>'Reference VO 2017'!O7</f>
        <v>0</v>
      </c>
      <c r="Q11" s="83">
        <f t="shared" si="4"/>
        <v>0.24201318427025884</v>
      </c>
      <c r="R11" s="83">
        <f t="shared" si="7"/>
        <v>0.21781186584323295</v>
      </c>
      <c r="T11" s="371">
        <f>Q11*VTPB!H11</f>
        <v>2335670.6281278138</v>
      </c>
      <c r="U11" s="372">
        <f>R11*VTPB!I11</f>
        <v>0</v>
      </c>
    </row>
    <row r="12" spans="1:21" x14ac:dyDescent="0.25">
      <c r="A12">
        <f>A11+1</f>
        <v>4</v>
      </c>
      <c r="B12" t="s">
        <v>60</v>
      </c>
      <c r="C12" s="36" t="s">
        <v>85</v>
      </c>
      <c r="D12" s="263">
        <f>'Reference VO 2017'!L8</f>
        <v>337</v>
      </c>
      <c r="E12" s="46">
        <f>'Reference VO 2017'!M8</f>
        <v>4750155</v>
      </c>
      <c r="F12" s="241">
        <f>E12/SUM($E$9:$E$18)</f>
        <v>3.1999453480641794E-2</v>
      </c>
      <c r="G12" s="241">
        <f t="shared" si="5"/>
        <v>10.783815822976285</v>
      </c>
      <c r="H12" s="46">
        <f>SUMIFS(Forecasts!$G$5:$G$34,Forecasts!$B$5:$B$34,"Entry",Forecasts!$E$5:$E$34,$B12,Forecasts!$C$5:$C$34,H$6)*GCV*1000</f>
        <v>2311811.2280670945</v>
      </c>
      <c r="I12" s="46">
        <f>SUMIFS(Forecasts!$G$5:$G$34,Forecasts!$B$5:$B$34,"Entry",Forecasts!$E$5:$E$34,$B12,Forecasts!$C$5:$C$34,I$6)*GCV*1000</f>
        <v>3357000</v>
      </c>
      <c r="J12" s="51">
        <f t="shared" si="1"/>
        <v>1</v>
      </c>
      <c r="K12" s="51">
        <v>1</v>
      </c>
      <c r="L12" s="263">
        <f t="shared" si="6"/>
        <v>0.22841289175056448</v>
      </c>
      <c r="M12" s="263">
        <f>'Reference VO 2017'!N8</f>
        <v>1.3</v>
      </c>
      <c r="N12" s="51">
        <f>1-discount_DZK</f>
        <v>0.9</v>
      </c>
      <c r="O12" s="263">
        <f t="shared" si="3"/>
        <v>0.20557160257550802</v>
      </c>
      <c r="P12" s="263">
        <f>'Reference VO 2017'!O8</f>
        <v>1.17</v>
      </c>
      <c r="Q12" s="83">
        <f t="shared" si="4"/>
        <v>0.24201318427025884</v>
      </c>
      <c r="R12" s="83">
        <f t="shared" si="7"/>
        <v>0.21781186584323295</v>
      </c>
      <c r="T12" s="371">
        <f>Q12*VTPB!H12</f>
        <v>337161.87773203244</v>
      </c>
      <c r="U12" s="372">
        <f>R12*VTPB!I12</f>
        <v>731194.43363573297</v>
      </c>
    </row>
    <row r="13" spans="1:21" x14ac:dyDescent="0.25">
      <c r="A13">
        <v>5</v>
      </c>
      <c r="B13" t="s">
        <v>61</v>
      </c>
      <c r="C13" s="36" t="s">
        <v>85</v>
      </c>
      <c r="D13" s="263">
        <f>'Reference VO 2017'!L9</f>
        <v>2</v>
      </c>
      <c r="E13" s="46">
        <f>'Reference VO 2017'!M9</f>
        <v>7273500</v>
      </c>
      <c r="F13" s="241">
        <f t="shared" si="0"/>
        <v>4.8997985306047508E-2</v>
      </c>
      <c r="G13" s="241">
        <f>D13*F13</f>
        <v>9.7995970612095015E-2</v>
      </c>
      <c r="H13" s="46">
        <f>SUMIFS(Forecasts!$G$5:$G$34,Forecasts!$B$5:$B$34,"Entry",Forecasts!$E$5:$E$34,$B13,Forecasts!$C$5:$C$34,H$6)*GCV*1000</f>
        <v>6663038</v>
      </c>
      <c r="I13" s="46">
        <f>SUMIFS(Forecasts!$G$5:$G$34,Forecasts!$B$5:$B$34,"Entry",Forecasts!$E$5:$E$34,$B13,Forecasts!$C$5:$C$34,I$6)*GCV*1000</f>
        <v>0</v>
      </c>
      <c r="J13" s="51">
        <f t="shared" si="1"/>
        <v>1</v>
      </c>
      <c r="K13" s="379">
        <f>1-discount_storage_entry</f>
        <v>0</v>
      </c>
      <c r="L13" s="263">
        <f t="shared" si="6"/>
        <v>0</v>
      </c>
      <c r="M13" s="263">
        <f>'Reference VO 2017'!N9</f>
        <v>0</v>
      </c>
      <c r="N13" s="51">
        <f t="shared" si="2"/>
        <v>0.9</v>
      </c>
      <c r="O13" s="263">
        <f t="shared" si="3"/>
        <v>0</v>
      </c>
      <c r="P13" s="263">
        <f>'Reference VO 2017'!O9</f>
        <v>0</v>
      </c>
      <c r="Q13" s="83">
        <f>L13*rescaling_entry_comm</f>
        <v>0</v>
      </c>
      <c r="R13" s="83">
        <f t="shared" si="7"/>
        <v>0</v>
      </c>
      <c r="T13" s="371">
        <f>Q13*VTPB!H13</f>
        <v>0</v>
      </c>
      <c r="U13" s="372">
        <f>R13*VTPB!I13</f>
        <v>0</v>
      </c>
    </row>
    <row r="14" spans="1:21" x14ac:dyDescent="0.25">
      <c r="A14">
        <v>6</v>
      </c>
      <c r="B14" t="s">
        <v>125</v>
      </c>
      <c r="C14" s="36" t="s">
        <v>85</v>
      </c>
      <c r="D14" s="263">
        <f>'Reference VO 2017'!L10</f>
        <v>334</v>
      </c>
      <c r="E14" s="46">
        <f>'Reference VO 2017'!M10</f>
        <v>1765899.9999999998</v>
      </c>
      <c r="F14" s="241">
        <f t="shared" si="0"/>
        <v>1.1895998109843856E-2</v>
      </c>
      <c r="G14" s="241">
        <f t="shared" si="5"/>
        <v>3.973263368687848</v>
      </c>
      <c r="H14" s="46">
        <f>SUMIFS(Forecasts!$G$5:$G$34,Forecasts!$B$5:$B$34,"Entry",Forecasts!$E$5:$E$34,$B14,Forecasts!$C$5:$C$34,H$6)*GCV*1000</f>
        <v>1765899.9999999995</v>
      </c>
      <c r="I14" s="46">
        <f>SUMIFS(Forecasts!$G$5:$G$34,Forecasts!$B$5:$B$34,"Entry",Forecasts!$E$5:$E$34,$B14,Forecasts!$C$5:$C$34,I$6)*GCV*1000</f>
        <v>0</v>
      </c>
      <c r="J14" s="51">
        <f t="shared" si="1"/>
        <v>1</v>
      </c>
      <c r="K14" s="379">
        <f>1-discount_storage_entry</f>
        <v>0</v>
      </c>
      <c r="L14" s="263">
        <f>base_tariff_entry_comm*K14*J14</f>
        <v>0</v>
      </c>
      <c r="M14" s="263">
        <f>'Reference VO 2017'!N10</f>
        <v>0</v>
      </c>
      <c r="N14" s="51">
        <f t="shared" si="2"/>
        <v>0.9</v>
      </c>
      <c r="O14" s="263">
        <f t="shared" si="3"/>
        <v>0</v>
      </c>
      <c r="P14" s="263">
        <f>'Reference VO 2017'!O10</f>
        <v>0</v>
      </c>
      <c r="Q14" s="83">
        <f t="shared" si="4"/>
        <v>0</v>
      </c>
      <c r="R14" s="83">
        <f t="shared" si="7"/>
        <v>0</v>
      </c>
      <c r="T14" s="371">
        <f>Q14*VTPB!H14</f>
        <v>0</v>
      </c>
      <c r="U14" s="372">
        <f>R14*VTPB!I14</f>
        <v>0</v>
      </c>
    </row>
    <row r="15" spans="1:21" x14ac:dyDescent="0.25">
      <c r="A15">
        <v>7</v>
      </c>
      <c r="B15" s="60" t="s">
        <v>96</v>
      </c>
      <c r="C15" s="36" t="s">
        <v>85</v>
      </c>
      <c r="D15" s="263">
        <f>'Reference VO 2017'!L11</f>
        <v>46</v>
      </c>
      <c r="E15" s="46">
        <f>'Reference VO 2017'!M11</f>
        <v>0</v>
      </c>
      <c r="F15" s="241">
        <f t="shared" si="0"/>
        <v>0</v>
      </c>
      <c r="G15" s="241">
        <f t="shared" si="5"/>
        <v>0</v>
      </c>
      <c r="H15" s="46">
        <f>SUMIFS(Forecasts!$G$5:$G$34,Forecasts!$B$5:$B$34,"Entry",Forecasts!$E$5:$E$34,$B15,Forecasts!$C$5:$C$34,H$6)*GCV*1000</f>
        <v>0</v>
      </c>
      <c r="I15" s="46">
        <f>SUMIFS(Forecasts!$G$5:$G$34,Forecasts!$B$5:$B$34,"Entry",Forecasts!$E$5:$E$34,$B15,Forecasts!$C$5:$C$34,I$6)*GCV*1000</f>
        <v>0</v>
      </c>
      <c r="J15" s="51">
        <f t="shared" si="1"/>
        <v>1</v>
      </c>
      <c r="K15" s="51">
        <v>1</v>
      </c>
      <c r="L15" s="263">
        <f t="shared" si="6"/>
        <v>0.22841289175056448</v>
      </c>
      <c r="M15" s="263">
        <f>'Reference VO 2017'!N11</f>
        <v>0.77</v>
      </c>
      <c r="N15" s="51">
        <f t="shared" si="2"/>
        <v>0.9</v>
      </c>
      <c r="O15" s="263">
        <f t="shared" si="3"/>
        <v>0.20557160257550802</v>
      </c>
      <c r="P15" s="263">
        <f>'Reference VO 2017'!O11</f>
        <v>0</v>
      </c>
      <c r="Q15" s="83">
        <f t="shared" si="4"/>
        <v>0.24201318427025884</v>
      </c>
      <c r="R15" s="83">
        <f t="shared" si="7"/>
        <v>0.21781186584323295</v>
      </c>
      <c r="T15" s="371">
        <f>Q15*VTPB!H15</f>
        <v>0</v>
      </c>
      <c r="U15" s="372">
        <f>R15*VTPB!I15</f>
        <v>0</v>
      </c>
    </row>
    <row r="16" spans="1:21" x14ac:dyDescent="0.25">
      <c r="A16">
        <v>8</v>
      </c>
      <c r="B16" t="s">
        <v>73</v>
      </c>
      <c r="C16" s="36" t="s">
        <v>85</v>
      </c>
      <c r="D16" s="263">
        <f>'Reference VO 2017'!L12</f>
        <v>238</v>
      </c>
      <c r="E16" s="46">
        <f>'Reference VO 2017'!M12</f>
        <v>0</v>
      </c>
      <c r="F16" s="241">
        <f>E16/SUM($E$9:$E$18)</f>
        <v>0</v>
      </c>
      <c r="G16" s="241">
        <f t="shared" si="5"/>
        <v>0</v>
      </c>
      <c r="H16" s="46">
        <f>SUMIFS(Forecasts!$G$5:$G$34,Forecasts!$B$5:$B$34,"Entry",Forecasts!$E$5:$E$34,$B16,Forecasts!$C$5:$C$34,H$6)*GCV*1000</f>
        <v>0</v>
      </c>
      <c r="I16" s="46">
        <f>SUMIFS(Forecasts!$G$5:$G$34,Forecasts!$B$5:$B$34,"Entry",Forecasts!$E$5:$E$34,$B16,Forecasts!$C$5:$C$34,I$6)*GCV*1000</f>
        <v>0</v>
      </c>
      <c r="J16" s="51">
        <f t="shared" si="1"/>
        <v>1</v>
      </c>
      <c r="K16" s="51">
        <v>1</v>
      </c>
      <c r="L16" s="263">
        <f t="shared" si="6"/>
        <v>0.22841289175056448</v>
      </c>
      <c r="M16" s="263">
        <f>'Reference VO 2017'!N12</f>
        <v>1.1000000000000001</v>
      </c>
      <c r="N16" s="51">
        <f t="shared" si="2"/>
        <v>0.9</v>
      </c>
      <c r="O16" s="263">
        <f t="shared" si="3"/>
        <v>0.20557160257550802</v>
      </c>
      <c r="P16" s="263">
        <f>'Reference VO 2017'!O12</f>
        <v>0</v>
      </c>
      <c r="Q16" s="83">
        <f t="shared" si="4"/>
        <v>0.24201318427025884</v>
      </c>
      <c r="R16" s="83">
        <f t="shared" si="7"/>
        <v>0.21781186584323295</v>
      </c>
      <c r="T16" s="371">
        <f>Q16*VTPB!H16</f>
        <v>0</v>
      </c>
      <c r="U16" s="372">
        <f>R16*VTPB!I16</f>
        <v>0</v>
      </c>
    </row>
    <row r="17" spans="1:21" x14ac:dyDescent="0.25">
      <c r="A17">
        <v>9</v>
      </c>
      <c r="B17" t="s">
        <v>74</v>
      </c>
      <c r="C17" s="36" t="s">
        <v>85</v>
      </c>
      <c r="D17" s="263">
        <f>'Reference VO 2017'!L13</f>
        <v>36</v>
      </c>
      <c r="E17" s="46">
        <f>'Reference VO 2017'!M13</f>
        <v>0</v>
      </c>
      <c r="F17" s="241">
        <f>E17/SUM($E$9:$E$18)</f>
        <v>0</v>
      </c>
      <c r="G17" s="241">
        <f t="shared" si="5"/>
        <v>0</v>
      </c>
      <c r="H17" s="46">
        <f>SUMIFS(Forecasts!$G$5:$G$34,Forecasts!$B$5:$B$34,"Entry",Forecasts!$E$5:$E$34,$B17,Forecasts!$C$5:$C$34,H$6)*GCV*1000</f>
        <v>0</v>
      </c>
      <c r="I17" s="46">
        <f>SUMIFS(Forecasts!$G$5:$G$34,Forecasts!$B$5:$B$34,"Entry",Forecasts!$E$5:$E$34,$B17,Forecasts!$C$5:$C$34,I$6)*GCV*1000</f>
        <v>0</v>
      </c>
      <c r="J17" s="51">
        <f t="shared" si="1"/>
        <v>1</v>
      </c>
      <c r="K17" s="51">
        <v>1</v>
      </c>
      <c r="L17" s="263">
        <f t="shared" si="6"/>
        <v>0.22841289175056448</v>
      </c>
      <c r="M17" s="263">
        <f>'Reference VO 2017'!N13</f>
        <v>0.77</v>
      </c>
      <c r="N17" s="51">
        <f t="shared" si="2"/>
        <v>0.9</v>
      </c>
      <c r="O17" s="263">
        <f t="shared" si="3"/>
        <v>0.20557160257550802</v>
      </c>
      <c r="P17" s="263">
        <f>'Reference VO 2017'!O13</f>
        <v>0</v>
      </c>
      <c r="Q17" s="83">
        <f t="shared" si="4"/>
        <v>0.24201318427025884</v>
      </c>
      <c r="R17" s="83">
        <f t="shared" si="7"/>
        <v>0.21781186584323295</v>
      </c>
      <c r="T17" s="371">
        <f>Q17*VTPB!H17</f>
        <v>0</v>
      </c>
      <c r="U17" s="372">
        <f>R17*VTPB!I17</f>
        <v>0</v>
      </c>
    </row>
    <row r="18" spans="1:21" x14ac:dyDescent="0.25">
      <c r="A18">
        <v>10</v>
      </c>
      <c r="B18" t="s">
        <v>75</v>
      </c>
      <c r="C18" s="36" t="s">
        <v>85</v>
      </c>
      <c r="D18" s="263">
        <f>'Reference VO 2017'!L14</f>
        <v>37.275145170465059</v>
      </c>
      <c r="E18" s="46">
        <f>'Reference VO 2017'!M14</f>
        <v>10848000</v>
      </c>
      <c r="F18" s="241">
        <f>E18/SUM($E$9:$E$18)</f>
        <v>7.3077630384272133E-2</v>
      </c>
      <c r="G18" s="241">
        <f t="shared" si="5"/>
        <v>2.723979281287332</v>
      </c>
      <c r="H18" s="46">
        <f>SUMIFS(Forecasts!$G$5:$G$34,Forecasts!$B$5:$B$34,"Entry",Forecasts!$E$5:$E$34,$B18,Forecasts!$C$5:$C$34,H$6)*GCV*1000</f>
        <v>10848000</v>
      </c>
      <c r="I18" s="46">
        <f>SUMIFS(Forecasts!$G$5:$G$34,Forecasts!$B$5:$B$34,"Entry",Forecasts!$E$5:$E$34,$B18,Forecasts!$C$5:$C$34,I$6)*GCV*1000</f>
        <v>0</v>
      </c>
      <c r="J18" s="51">
        <f t="shared" si="1"/>
        <v>1</v>
      </c>
      <c r="K18" s="51">
        <f>1-VG_discount</f>
        <v>0</v>
      </c>
      <c r="L18" s="263">
        <f t="shared" si="6"/>
        <v>0</v>
      </c>
      <c r="M18" s="263">
        <f>'Reference VO 2017'!N14</f>
        <v>0</v>
      </c>
      <c r="N18" s="51">
        <f>1-discount_DZK</f>
        <v>0.9</v>
      </c>
      <c r="O18" s="263">
        <f t="shared" si="3"/>
        <v>0</v>
      </c>
      <c r="P18" s="263">
        <f>'Reference VO 2017'!O14</f>
        <v>0</v>
      </c>
      <c r="Q18" s="83">
        <f t="shared" si="4"/>
        <v>0</v>
      </c>
      <c r="R18" s="83">
        <f t="shared" si="7"/>
        <v>0</v>
      </c>
      <c r="T18" s="373">
        <f>Q18*VTPB!H18</f>
        <v>0</v>
      </c>
      <c r="U18" s="374">
        <f>R18*VTPB!I18</f>
        <v>0</v>
      </c>
    </row>
    <row r="19" spans="1:21" x14ac:dyDescent="0.25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T19">
        <f>SUM(T9:T18)</f>
        <v>22486936.961830772</v>
      </c>
      <c r="U19" s="262">
        <f>SUM(U9:U18)</f>
        <v>846925.45127681794</v>
      </c>
    </row>
    <row r="20" spans="1:21" x14ac:dyDescent="0.25">
      <c r="A20" s="33" t="s">
        <v>62</v>
      </c>
      <c r="C20" s="382" t="s">
        <v>87</v>
      </c>
      <c r="D20" s="382" t="s">
        <v>88</v>
      </c>
      <c r="E20" s="52"/>
      <c r="F20" s="52"/>
      <c r="G20" s="52"/>
      <c r="H20" s="46"/>
      <c r="I20" s="46"/>
      <c r="J20" s="52"/>
      <c r="K20" s="52"/>
      <c r="L20" s="52"/>
      <c r="M20" s="52"/>
      <c r="N20" s="52"/>
      <c r="O20" s="52"/>
      <c r="P20" s="52"/>
      <c r="Q20" s="52"/>
      <c r="R20" s="52"/>
    </row>
    <row r="21" spans="1:21" ht="45" x14ac:dyDescent="0.25">
      <c r="A21" s="35" t="s">
        <v>48</v>
      </c>
      <c r="B21" s="35" t="s">
        <v>123</v>
      </c>
      <c r="C21" s="423" t="s">
        <v>86</v>
      </c>
      <c r="D21" s="50" t="s">
        <v>63</v>
      </c>
      <c r="E21" s="50" t="s">
        <v>64</v>
      </c>
      <c r="F21" s="50" t="s">
        <v>148</v>
      </c>
      <c r="G21" s="50" t="s">
        <v>149</v>
      </c>
      <c r="H21" s="46"/>
      <c r="I21" s="46"/>
      <c r="J21" s="52"/>
      <c r="K21" s="52"/>
      <c r="L21" s="52"/>
      <c r="M21" s="52"/>
      <c r="N21" s="52"/>
      <c r="O21" s="52"/>
      <c r="P21" s="52"/>
      <c r="Q21" s="52"/>
      <c r="R21" s="52"/>
    </row>
    <row r="22" spans="1:21" x14ac:dyDescent="0.25">
      <c r="A22" s="52">
        <v>1</v>
      </c>
      <c r="B22" t="str">
        <f>C9</f>
        <v>Entry MG Ost</v>
      </c>
      <c r="C22" s="365">
        <f>+SUM($E$9:$E$18)</f>
        <v>148444879</v>
      </c>
      <c r="D22" s="49">
        <f>+SUMPRODUCT($D$9:$D$18,$E$9:$E$18)/$C$22</f>
        <v>79.12200944809652</v>
      </c>
      <c r="E22" s="263">
        <f>D22/$D$22</f>
        <v>1</v>
      </c>
      <c r="F22" s="46">
        <f>+SUM(H9:H18)</f>
        <v>99196414.924548209</v>
      </c>
      <c r="G22" s="46">
        <f>+SUM(I9:I18)</f>
        <v>3878331</v>
      </c>
      <c r="H22" s="46"/>
      <c r="I22" s="46"/>
      <c r="J22" s="52"/>
      <c r="K22" s="263"/>
      <c r="L22" s="51"/>
      <c r="M22" s="51"/>
      <c r="N22" s="365"/>
      <c r="O22" s="365"/>
      <c r="P22" s="365"/>
      <c r="Q22" s="52"/>
      <c r="R22" s="52"/>
    </row>
    <row r="23" spans="1:21" ht="45" x14ac:dyDescent="0.25">
      <c r="C23" s="66"/>
      <c r="D23" s="46"/>
      <c r="E23" s="263"/>
      <c r="F23" s="46"/>
      <c r="G23" s="46"/>
      <c r="H23" s="46"/>
      <c r="I23" s="46"/>
      <c r="J23" s="52"/>
      <c r="K23" s="263"/>
      <c r="L23" s="51"/>
      <c r="M23" s="51"/>
      <c r="N23" s="365"/>
      <c r="O23" s="365"/>
      <c r="P23" s="365"/>
      <c r="Q23" s="52"/>
      <c r="R23" s="52"/>
      <c r="T23" s="366" t="s">
        <v>311</v>
      </c>
      <c r="U23" s="367">
        <f>T19+U19+T57+U57</f>
        <v>100104941.01977988</v>
      </c>
    </row>
    <row r="24" spans="1:21" x14ac:dyDescent="0.25">
      <c r="B24" s="29" t="s">
        <v>323</v>
      </c>
      <c r="C24" s="53">
        <f>SUM(G9:G18)/SUM(G9:G18,G32:G56)</f>
        <v>0.25774741432080422</v>
      </c>
      <c r="D24" s="46"/>
      <c r="E24" s="46"/>
      <c r="F24" s="46"/>
      <c r="G24" s="46"/>
      <c r="H24" s="46"/>
      <c r="I24" s="46"/>
      <c r="J24" s="52"/>
      <c r="K24" s="263"/>
      <c r="L24" s="51"/>
      <c r="M24" s="51"/>
      <c r="N24" s="365"/>
      <c r="O24" s="365"/>
      <c r="P24" s="365"/>
      <c r="Q24" s="52"/>
      <c r="R24" s="52"/>
    </row>
    <row r="25" spans="1:21" x14ac:dyDescent="0.25">
      <c r="B25" s="29" t="s">
        <v>92</v>
      </c>
      <c r="C25" s="365">
        <f>EX_split_entry_theor_comm*costs_commodity</f>
        <v>23455014.703193184</v>
      </c>
      <c r="D25" s="46"/>
      <c r="E25" s="46"/>
      <c r="F25" s="46"/>
      <c r="G25" s="46"/>
      <c r="H25" s="46"/>
      <c r="I25" s="46"/>
      <c r="J25" s="52"/>
      <c r="K25" s="263"/>
      <c r="L25" s="51"/>
      <c r="M25" s="51"/>
      <c r="N25" s="365"/>
      <c r="O25" s="365"/>
      <c r="P25" s="365"/>
      <c r="Q25" s="52"/>
      <c r="R25" s="52"/>
    </row>
    <row r="26" spans="1:21" x14ac:dyDescent="0.25">
      <c r="B26" s="29" t="s">
        <v>93</v>
      </c>
      <c r="C26" s="66">
        <f>C25/(E22*F22+E22*G22*(1-discount_DZK))</f>
        <v>0.22841289175056448</v>
      </c>
      <c r="D26" s="66"/>
      <c r="E26" s="52"/>
      <c r="F26" s="52"/>
      <c r="G26" s="52"/>
      <c r="H26" s="46"/>
      <c r="I26" s="46"/>
      <c r="J26" s="263"/>
      <c r="K26" s="263"/>
      <c r="L26" s="51"/>
      <c r="M26" s="51"/>
      <c r="N26" s="365"/>
      <c r="O26" s="365"/>
      <c r="P26" s="365"/>
      <c r="Q26" s="52"/>
      <c r="R26" s="52"/>
    </row>
    <row r="27" spans="1:21" x14ac:dyDescent="0.25">
      <c r="B27" s="29" t="s">
        <v>94</v>
      </c>
      <c r="C27" s="375">
        <f>IFERROR((C25+C71)/(SUMPRODUCT(H9:H18,L9:L18)+SUMPRODUCT(I9:I18,O9:O18)+SUMPRODUCT(H32:H56,L32:L56)+SUMPRODUCT(I32:I56,O32:O56)),0)</f>
        <v>1.0595425784221777</v>
      </c>
      <c r="D27" s="52"/>
      <c r="E27" s="365"/>
      <c r="F27" s="52"/>
      <c r="G27" s="52"/>
      <c r="H27" s="46"/>
      <c r="I27" s="46"/>
      <c r="J27" s="263"/>
      <c r="K27" s="263"/>
      <c r="L27" s="51"/>
      <c r="M27" s="51"/>
      <c r="N27" s="365"/>
      <c r="O27" s="365"/>
      <c r="P27" s="365"/>
      <c r="Q27" s="52"/>
      <c r="R27" s="52"/>
    </row>
    <row r="28" spans="1:21" x14ac:dyDescent="0.25">
      <c r="B28" s="29"/>
      <c r="C28" s="52"/>
      <c r="D28" s="52"/>
      <c r="E28" s="52"/>
      <c r="F28" s="52"/>
      <c r="G28" s="52"/>
      <c r="H28" s="46"/>
      <c r="I28" s="46"/>
      <c r="J28" s="263"/>
      <c r="K28" s="263"/>
      <c r="L28" s="51"/>
      <c r="M28" s="51"/>
      <c r="N28" s="365"/>
      <c r="O28" s="365"/>
      <c r="P28" s="365"/>
      <c r="Q28" s="52"/>
      <c r="R28" s="52"/>
    </row>
    <row r="29" spans="1:21" x14ac:dyDescent="0.25">
      <c r="B29" s="29"/>
      <c r="C29" s="52"/>
      <c r="D29" s="52"/>
      <c r="E29" s="52"/>
      <c r="F29" s="52"/>
      <c r="G29" s="52"/>
      <c r="H29" s="424" t="s">
        <v>70</v>
      </c>
      <c r="I29" s="424" t="s">
        <v>71</v>
      </c>
      <c r="J29" s="263"/>
      <c r="K29" s="263"/>
      <c r="L29" s="51"/>
      <c r="M29" s="51"/>
      <c r="N29" s="365"/>
      <c r="O29" s="365"/>
      <c r="P29" s="365"/>
      <c r="Q29" s="52"/>
      <c r="R29" s="52"/>
    </row>
    <row r="30" spans="1:21" x14ac:dyDescent="0.25">
      <c r="A30" s="33" t="s">
        <v>113</v>
      </c>
      <c r="C30" s="52"/>
      <c r="D30" s="382"/>
      <c r="E30" s="382" t="s">
        <v>87</v>
      </c>
      <c r="F30" s="52"/>
      <c r="G30" s="85"/>
      <c r="H30" s="422" t="s">
        <v>87</v>
      </c>
      <c r="I30" s="422" t="s">
        <v>87</v>
      </c>
      <c r="J30" s="52"/>
      <c r="K30" s="52"/>
      <c r="L30" s="52"/>
      <c r="M30" s="52"/>
      <c r="N30" s="52"/>
      <c r="O30" s="52"/>
      <c r="P30" s="52"/>
      <c r="Q30" s="52"/>
      <c r="R30" s="52"/>
    </row>
    <row r="31" spans="1:21" ht="60" x14ac:dyDescent="0.25">
      <c r="A31" s="35" t="s">
        <v>48</v>
      </c>
      <c r="B31" s="35" t="s">
        <v>49</v>
      </c>
      <c r="C31" s="50" t="s">
        <v>50</v>
      </c>
      <c r="D31" s="50" t="s">
        <v>310</v>
      </c>
      <c r="E31" s="50" t="s">
        <v>324</v>
      </c>
      <c r="F31" s="50" t="s">
        <v>51</v>
      </c>
      <c r="G31" s="50" t="s">
        <v>52</v>
      </c>
      <c r="H31" s="411" t="s">
        <v>148</v>
      </c>
      <c r="I31" s="411" t="s">
        <v>149</v>
      </c>
      <c r="J31" s="50" t="s">
        <v>95</v>
      </c>
      <c r="K31" s="45" t="s">
        <v>205</v>
      </c>
      <c r="L31" s="50" t="s">
        <v>207</v>
      </c>
      <c r="M31" s="50" t="s">
        <v>328</v>
      </c>
      <c r="N31" s="45" t="s">
        <v>206</v>
      </c>
      <c r="O31" s="50" t="s">
        <v>208</v>
      </c>
      <c r="P31" s="50" t="s">
        <v>329</v>
      </c>
      <c r="Q31" s="50" t="s">
        <v>289</v>
      </c>
      <c r="R31" s="50" t="s">
        <v>290</v>
      </c>
      <c r="T31" s="368" t="s">
        <v>312</v>
      </c>
      <c r="U31" s="368" t="s">
        <v>313</v>
      </c>
    </row>
    <row r="32" spans="1:21" x14ac:dyDescent="0.25">
      <c r="A32">
        <f>1</f>
        <v>1</v>
      </c>
      <c r="B32" t="s">
        <v>56</v>
      </c>
      <c r="C32" s="52" t="s">
        <v>83</v>
      </c>
      <c r="D32" s="83">
        <f>('Reference VO 2017'!L15)</f>
        <v>381.59447</v>
      </c>
      <c r="E32" s="84">
        <f>'Reference VO 2017'!M15</f>
        <v>50014969</v>
      </c>
      <c r="F32" s="241">
        <f>E32/SUM($E$32:$E$56)</f>
        <v>0.36529213101394636</v>
      </c>
      <c r="G32" s="241">
        <f>D32*F32</f>
        <v>139.39345712943742</v>
      </c>
      <c r="H32" s="46">
        <f>SUMIFS(Forecasts!$G$5:$G$34,Forecasts!$B$5:$B$34,"Exit",Forecasts!$E$5:$E$34,$B32,Forecasts!$C$5:$C$34,H$6)*GCV*1000</f>
        <v>43571929</v>
      </c>
      <c r="I32" s="46">
        <f>SUMIFS(Forecasts!$G$5:$G$34,Forecasts!$B$5:$B$34,"Exit",Forecasts!$E$5:$E$34,$B32,Forecasts!$C$5:$C$34,I$6)*GCV*1000</f>
        <v>0</v>
      </c>
      <c r="J32" s="51">
        <f t="shared" ref="J32:J56" si="8">SUMIF($B$62:$B$68,C32,$E$62:$E$68)</f>
        <v>1</v>
      </c>
      <c r="K32" s="51">
        <v>1</v>
      </c>
      <c r="L32" s="263">
        <f t="shared" ref="L32:L56" si="9">base_tariff_exit_comm*K32*J32</f>
        <v>0.96258683435233183</v>
      </c>
      <c r="M32" s="263">
        <f>'Reference VO 2017'!N15</f>
        <v>4.63</v>
      </c>
      <c r="N32" s="51">
        <f t="shared" ref="N32:N56" si="10">1-discount_DZK</f>
        <v>0.9</v>
      </c>
      <c r="O32" s="263">
        <f t="shared" ref="O32:O56" si="11">L32*N32</f>
        <v>0.86632815091709869</v>
      </c>
      <c r="P32" s="263">
        <f>'Reference VO 2017'!O15</f>
        <v>0</v>
      </c>
      <c r="Q32" s="83">
        <f t="shared" ref="Q32:Q56" si="12">+L32*rescaling_exit_comm</f>
        <v>1.0199017364249112</v>
      </c>
      <c r="R32" s="83">
        <f t="shared" ref="R32:R56" si="13">+O32*rescaling_exit_comm</f>
        <v>0.91791156278242025</v>
      </c>
      <c r="T32" s="369">
        <f>Q32*VTPB!H32</f>
        <v>49525299.39156165</v>
      </c>
      <c r="U32" s="370">
        <f>R32*VTPB!I32</f>
        <v>0</v>
      </c>
    </row>
    <row r="33" spans="1:21" x14ac:dyDescent="0.25">
      <c r="A33">
        <f t="shared" ref="A33:A56" si="14">A32+1</f>
        <v>2</v>
      </c>
      <c r="B33" s="60" t="s">
        <v>58</v>
      </c>
      <c r="C33" s="54" t="s">
        <v>77</v>
      </c>
      <c r="D33" s="83">
        <f>VTPB!D36</f>
        <v>242</v>
      </c>
      <c r="E33" s="84">
        <f>'Reference VO 2017'!M16</f>
        <v>10272000</v>
      </c>
      <c r="F33" s="241">
        <f>E33/SUM($E$32:$E$56)</f>
        <v>7.5023154963372196E-2</v>
      </c>
      <c r="G33" s="241">
        <f t="shared" ref="G33:G56" si="15">D33*F33</f>
        <v>18.155603501136071</v>
      </c>
      <c r="H33" s="46">
        <f>SUMIFS(Forecasts!$G$5:$G$34,Forecasts!$B$5:$B$34,"Exit",Forecasts!$E$5:$E$34,$B33,Forecasts!$C$5:$C$34,H$6)*GCV*1000</f>
        <v>7932724.7715542139</v>
      </c>
      <c r="I33" s="46">
        <f>SUMIFS(Forecasts!$G$5:$G$34,Forecasts!$B$5:$B$34,"Exit",Forecasts!$E$5:$E$34,$B33,Forecasts!$C$5:$C$34,I$6)*GCV*1000</f>
        <v>0</v>
      </c>
      <c r="J33" s="51">
        <f t="shared" si="8"/>
        <v>0.41581601924538891</v>
      </c>
      <c r="K33" s="51">
        <v>1</v>
      </c>
      <c r="L33" s="263">
        <f t="shared" si="9"/>
        <v>0.40025902563840721</v>
      </c>
      <c r="M33" s="263">
        <f>'Reference VO 2017'!N16</f>
        <v>1.1200000000000001</v>
      </c>
      <c r="N33" s="51">
        <f t="shared" si="10"/>
        <v>0.9</v>
      </c>
      <c r="O33" s="263">
        <f t="shared" si="11"/>
        <v>0.36023312307456651</v>
      </c>
      <c r="P33" s="263">
        <f>'Reference VO 2017'!O16</f>
        <v>0</v>
      </c>
      <c r="Q33" s="83">
        <f t="shared" si="12"/>
        <v>0.42409148006166653</v>
      </c>
      <c r="R33" s="83">
        <f t="shared" si="13"/>
        <v>0.3816823320554999</v>
      </c>
      <c r="T33" s="371">
        <f>Q33*VTPB!H33</f>
        <v>2305561.1472070278</v>
      </c>
      <c r="U33" s="372">
        <f>R33*VTPB!I33</f>
        <v>0</v>
      </c>
    </row>
    <row r="34" spans="1:21" x14ac:dyDescent="0.25">
      <c r="A34">
        <f t="shared" si="14"/>
        <v>3</v>
      </c>
      <c r="B34" s="60" t="s">
        <v>96</v>
      </c>
      <c r="C34" s="54" t="s">
        <v>77</v>
      </c>
      <c r="D34" s="83">
        <f>'Reference VO 2017'!L17</f>
        <v>46</v>
      </c>
      <c r="E34" s="84">
        <f>'Reference VO 2017'!M17</f>
        <v>6378300</v>
      </c>
      <c r="F34" s="241">
        <f t="shared" ref="F34:F56" si="16">E34/SUM($E$32:$E$56)</f>
        <v>4.6584909394750476E-2</v>
      </c>
      <c r="G34" s="241">
        <f t="shared" si="15"/>
        <v>2.1429058321585219</v>
      </c>
      <c r="H34" s="46">
        <f>SUMIFS(Forecasts!$G$5:$G$34,Forecasts!$B$5:$B$34,"Exit",Forecasts!$E$5:$E$34,$B34,Forecasts!$C$5:$C$34,H$6)*GCV*1000</f>
        <v>6415166.2901679585</v>
      </c>
      <c r="I34" s="46">
        <f>SUMIFS(Forecasts!$G$5:$G$34,Forecasts!$B$5:$B$34,"Exit",Forecasts!$E$5:$E$34,$B34,Forecasts!$C$5:$C$34,I$6)*GCV*1000</f>
        <v>0</v>
      </c>
      <c r="J34" s="51">
        <f t="shared" si="8"/>
        <v>0.41581601924538891</v>
      </c>
      <c r="K34" s="51">
        <v>1</v>
      </c>
      <c r="L34" s="263">
        <f t="shared" si="9"/>
        <v>0.40025902563840721</v>
      </c>
      <c r="M34" s="263">
        <f>'Reference VO 2017'!N17</f>
        <v>1.1200000000000001</v>
      </c>
      <c r="N34" s="51">
        <f t="shared" si="10"/>
        <v>0.9</v>
      </c>
      <c r="O34" s="263">
        <f t="shared" si="11"/>
        <v>0.36023312307456651</v>
      </c>
      <c r="P34" s="263">
        <f>'Reference VO 2017'!O17</f>
        <v>0</v>
      </c>
      <c r="Q34" s="83">
        <f t="shared" si="12"/>
        <v>0.42409148006166653</v>
      </c>
      <c r="R34" s="83">
        <f t="shared" si="13"/>
        <v>0.3816823320554999</v>
      </c>
      <c r="T34" s="371">
        <f>Q34*VTPB!H34</f>
        <v>2704982.6872773278</v>
      </c>
      <c r="U34" s="372">
        <f>R34*VTPB!I34</f>
        <v>0</v>
      </c>
    </row>
    <row r="35" spans="1:21" x14ac:dyDescent="0.25">
      <c r="A35">
        <f t="shared" si="14"/>
        <v>4</v>
      </c>
      <c r="B35" s="60" t="s">
        <v>73</v>
      </c>
      <c r="C35" s="54" t="s">
        <v>79</v>
      </c>
      <c r="D35" s="83">
        <f>'Reference VO 2017'!L18</f>
        <v>238</v>
      </c>
      <c r="E35" s="84">
        <f>'Reference VO 2017'!M18</f>
        <v>4688610</v>
      </c>
      <c r="F35" s="241">
        <f t="shared" si="16"/>
        <v>3.4243994800702546E-2</v>
      </c>
      <c r="G35" s="241">
        <f t="shared" si="15"/>
        <v>8.1500707625672053</v>
      </c>
      <c r="H35" s="46">
        <f>SUMIFS(Forecasts!$G$5:$G$34,Forecasts!$B$5:$B$34,"Exit",Forecasts!$E$5:$E$34,$B35,Forecasts!$C$5:$C$34,H$6)*GCV*1000</f>
        <v>1810849.9747649301</v>
      </c>
      <c r="I35" s="46">
        <f>SUMIFS(Forecasts!$G$5:$G$34,Forecasts!$B$5:$B$34,"Exit",Forecasts!$E$5:$E$34,$B35,Forecasts!$C$5:$C$34,I$6)*GCV*1000</f>
        <v>0</v>
      </c>
      <c r="J35" s="51">
        <f t="shared" si="8"/>
        <v>0.62369876586523909</v>
      </c>
      <c r="K35" s="51">
        <v>1</v>
      </c>
      <c r="L35" s="263">
        <f t="shared" si="9"/>
        <v>0.60036422062367667</v>
      </c>
      <c r="M35" s="263">
        <f>'Reference VO 2017'!N18</f>
        <v>3.33</v>
      </c>
      <c r="N35" s="51">
        <f t="shared" si="10"/>
        <v>0.9</v>
      </c>
      <c r="O35" s="263">
        <f t="shared" si="11"/>
        <v>0.54032779856130897</v>
      </c>
      <c r="P35" s="263">
        <f>'Reference VO 2017'!O18</f>
        <v>0</v>
      </c>
      <c r="Q35" s="83">
        <f t="shared" si="12"/>
        <v>0.63611145431203153</v>
      </c>
      <c r="R35" s="83">
        <f t="shared" si="13"/>
        <v>0.57250030888082837</v>
      </c>
      <c r="T35" s="371">
        <f>Q35*VTPB!H35</f>
        <v>2151598.4461842533</v>
      </c>
      <c r="U35" s="372">
        <f>R35*VTPB!I35</f>
        <v>0</v>
      </c>
    </row>
    <row r="36" spans="1:21" x14ac:dyDescent="0.25">
      <c r="A36">
        <f t="shared" si="14"/>
        <v>5</v>
      </c>
      <c r="B36" s="60" t="s">
        <v>59</v>
      </c>
      <c r="C36" s="54" t="s">
        <v>78</v>
      </c>
      <c r="D36" s="83">
        <f>'Reference VO 2017'!L19</f>
        <v>242</v>
      </c>
      <c r="E36" s="84">
        <f>'Reference VO 2017'!M19</f>
        <v>15660325</v>
      </c>
      <c r="F36" s="241">
        <f t="shared" si="16"/>
        <v>0.11437762745831112</v>
      </c>
      <c r="G36" s="241">
        <f t="shared" si="15"/>
        <v>27.679385844911291</v>
      </c>
      <c r="H36" s="46">
        <f>SUMIFS(Forecasts!$G$5:$G$34,Forecasts!$B$5:$B$34,"Exit",Forecasts!$E$5:$E$34,$B36,Forecasts!$C$5:$C$34,H$6)*GCV*1000</f>
        <v>14873464.004296182</v>
      </c>
      <c r="I36" s="46">
        <f>SUMIFS(Forecasts!$G$5:$G$34,Forecasts!$B$5:$B$34,"Exit",Forecasts!$E$5:$E$34,$B36,Forecasts!$C$5:$C$34,I$6)*GCV*1000</f>
        <v>0</v>
      </c>
      <c r="J36" s="51">
        <f t="shared" si="8"/>
        <v>0.71313770592425541</v>
      </c>
      <c r="K36" s="51">
        <v>1</v>
      </c>
      <c r="L36" s="263">
        <f t="shared" si="9"/>
        <v>0.68645696680291313</v>
      </c>
      <c r="M36" s="263">
        <f>'Reference VO 2017'!N19</f>
        <v>3.44</v>
      </c>
      <c r="N36" s="51">
        <f t="shared" si="10"/>
        <v>0.9</v>
      </c>
      <c r="O36" s="263">
        <f t="shared" si="11"/>
        <v>0.61781127012262183</v>
      </c>
      <c r="P36" s="263">
        <f>'Reference VO 2017'!O19</f>
        <v>0</v>
      </c>
      <c r="Q36" s="83">
        <f t="shared" si="12"/>
        <v>0.72733038458222576</v>
      </c>
      <c r="R36" s="83">
        <f t="shared" si="13"/>
        <v>0.65459734612400322</v>
      </c>
      <c r="T36" s="371">
        <f>Q36*VTPB!H36</f>
        <v>11390231.419574387</v>
      </c>
      <c r="U36" s="372">
        <f>R36*VTPB!I36</f>
        <v>0</v>
      </c>
    </row>
    <row r="37" spans="1:21" x14ac:dyDescent="0.25">
      <c r="A37">
        <f t="shared" si="14"/>
        <v>6</v>
      </c>
      <c r="B37" s="60" t="s">
        <v>74</v>
      </c>
      <c r="C37" s="54" t="s">
        <v>77</v>
      </c>
      <c r="D37" s="83">
        <f>'Reference VO 2017'!L20</f>
        <v>36</v>
      </c>
      <c r="E37" s="84">
        <f>'Reference VO 2017'!M20</f>
        <v>1119000</v>
      </c>
      <c r="F37" s="241">
        <f t="shared" si="16"/>
        <v>8.1727911218860486E-3</v>
      </c>
      <c r="G37" s="241">
        <f t="shared" si="15"/>
        <v>0.29422048038789772</v>
      </c>
      <c r="H37" s="46">
        <f>SUMIFS(Forecasts!$G$5:$G$34,Forecasts!$B$5:$B$34,"Exit",Forecasts!$E$5:$E$34,$B37,Forecasts!$C$5:$C$34,H$6)*GCV*1000</f>
        <v>0</v>
      </c>
      <c r="I37" s="46">
        <f>SUMIFS(Forecasts!$G$5:$G$34,Forecasts!$B$5:$B$34,"Exit",Forecasts!$E$5:$E$34,$B37,Forecasts!$C$5:$C$34,I$6)*GCV*1000</f>
        <v>0</v>
      </c>
      <c r="J37" s="51">
        <f t="shared" si="8"/>
        <v>0.41581601924538891</v>
      </c>
      <c r="K37" s="51">
        <v>1</v>
      </c>
      <c r="L37" s="263">
        <f t="shared" si="9"/>
        <v>0.40025902563840721</v>
      </c>
      <c r="M37" s="263">
        <f>'Reference VO 2017'!N20</f>
        <v>1.1200000000000001</v>
      </c>
      <c r="N37" s="51">
        <f t="shared" si="10"/>
        <v>0.9</v>
      </c>
      <c r="O37" s="263">
        <f t="shared" si="11"/>
        <v>0.36023312307456651</v>
      </c>
      <c r="P37" s="263">
        <f>'Reference VO 2017'!O20</f>
        <v>0</v>
      </c>
      <c r="Q37" s="83">
        <f t="shared" si="12"/>
        <v>0.42409148006166653</v>
      </c>
      <c r="R37" s="83">
        <f t="shared" si="13"/>
        <v>0.3816823320554999</v>
      </c>
      <c r="T37" s="371">
        <f>Q37*VTPB!H37</f>
        <v>0</v>
      </c>
      <c r="U37" s="372">
        <f>R37*VTPB!I37</f>
        <v>0</v>
      </c>
    </row>
    <row r="38" spans="1:21" x14ac:dyDescent="0.25">
      <c r="A38">
        <f t="shared" si="14"/>
        <v>7</v>
      </c>
      <c r="B38" s="60" t="s">
        <v>60</v>
      </c>
      <c r="C38" s="54" t="s">
        <v>78</v>
      </c>
      <c r="D38" s="83">
        <f>'Reference VO 2017'!L21</f>
        <v>337</v>
      </c>
      <c r="E38" s="84">
        <f>'Reference VO 2017'!M21</f>
        <v>7273500</v>
      </c>
      <c r="F38" s="241">
        <f>E38/SUM($E$32:$E$56)</f>
        <v>5.3123142292259319E-2</v>
      </c>
      <c r="G38" s="241">
        <f>D38*F38</f>
        <v>17.902498952491392</v>
      </c>
      <c r="H38" s="46">
        <f>SUMIFS(Forecasts!$G$5:$G$34,Forecasts!$B$5:$B$34,"Exit",Forecasts!$E$5:$E$34,$B38,Forecasts!$C$5:$C$34,H$6)*GCV*1000</f>
        <v>0</v>
      </c>
      <c r="I38" s="46">
        <f>SUMIFS(Forecasts!$G$5:$G$34,Forecasts!$B$5:$B$34,"Exit",Forecasts!$E$5:$E$34,$B38,Forecasts!$C$5:$C$34,I$6)*GCV*1000</f>
        <v>6431372.0000000019</v>
      </c>
      <c r="J38" s="51">
        <f t="shared" si="8"/>
        <v>0.71313770592425541</v>
      </c>
      <c r="K38" s="51">
        <v>1</v>
      </c>
      <c r="L38" s="263">
        <f t="shared" si="9"/>
        <v>0.68645696680291313</v>
      </c>
      <c r="M38" s="263">
        <f>'Reference VO 2017'!N21</f>
        <v>3.44</v>
      </c>
      <c r="N38" s="51">
        <f t="shared" si="10"/>
        <v>0.9</v>
      </c>
      <c r="O38" s="263">
        <f t="shared" si="11"/>
        <v>0.61781127012262183</v>
      </c>
      <c r="P38" s="263">
        <f>'Reference VO 2017'!O21</f>
        <v>2.99</v>
      </c>
      <c r="Q38" s="83">
        <f t="shared" si="12"/>
        <v>0.72733038458222576</v>
      </c>
      <c r="R38" s="83">
        <f t="shared" si="13"/>
        <v>0.65459734612400322</v>
      </c>
      <c r="T38" s="371">
        <f>Q38*VTPB!H38</f>
        <v>193134.36479246427</v>
      </c>
      <c r="U38" s="372">
        <f>R38*VTPB!I38</f>
        <v>4234271.9537545443</v>
      </c>
    </row>
    <row r="39" spans="1:21" x14ac:dyDescent="0.25">
      <c r="A39">
        <f t="shared" si="14"/>
        <v>8</v>
      </c>
      <c r="B39" s="60" t="s">
        <v>61</v>
      </c>
      <c r="C39" s="52" t="s">
        <v>82</v>
      </c>
      <c r="D39" s="83">
        <f>'Reference VO 2017'!L22</f>
        <v>2</v>
      </c>
      <c r="E39" s="84">
        <f>'Reference VO 2017'!M22</f>
        <v>7273500</v>
      </c>
      <c r="F39" s="241">
        <f t="shared" si="16"/>
        <v>5.3123142292259319E-2</v>
      </c>
      <c r="G39" s="241">
        <f t="shared" si="15"/>
        <v>0.10624628458451864</v>
      </c>
      <c r="H39" s="46">
        <f>SUMIFS(Forecasts!$G$5:$G$34,Forecasts!$B$5:$B$34,"Exit",Forecasts!$E$5:$E$34,$B39,Forecasts!$C$5:$C$34,H$6)*GCV*1000</f>
        <v>6663038</v>
      </c>
      <c r="I39" s="46">
        <f>SUMIFS(Forecasts!$G$5:$G$34,Forecasts!$B$5:$B$34,"Exit",Forecasts!$E$5:$E$34,$B39,Forecasts!$C$5:$C$34,I$6)*GCV*1000</f>
        <v>0</v>
      </c>
      <c r="J39" s="51">
        <f t="shared" si="8"/>
        <v>0.17520734590906595</v>
      </c>
      <c r="K39" s="51">
        <f>1-discount_storage_exit</f>
        <v>0.5</v>
      </c>
      <c r="L39" s="263">
        <f t="shared" si="9"/>
        <v>8.4326142226940889E-2</v>
      </c>
      <c r="M39" s="263">
        <f>'Reference VO 2017'!N22</f>
        <v>0.4</v>
      </c>
      <c r="N39" s="51">
        <f t="shared" si="10"/>
        <v>0.9</v>
      </c>
      <c r="O39" s="263">
        <f t="shared" si="11"/>
        <v>7.5893528004246799E-2</v>
      </c>
      <c r="P39" s="263">
        <f>'Reference VO 2017'!O22</f>
        <v>0</v>
      </c>
      <c r="Q39" s="83">
        <f t="shared" si="12"/>
        <v>8.9347138163528225E-2</v>
      </c>
      <c r="R39" s="83">
        <f t="shared" si="13"/>
        <v>8.041242434717541E-2</v>
      </c>
      <c r="T39" s="371">
        <f>Q39*VTPB!H39</f>
        <v>513691.81072742201</v>
      </c>
      <c r="U39" s="372">
        <f>R39*VTPB!I39</f>
        <v>0</v>
      </c>
    </row>
    <row r="40" spans="1:21" x14ac:dyDescent="0.25">
      <c r="A40">
        <f t="shared" si="14"/>
        <v>9</v>
      </c>
      <c r="B40" t="s">
        <v>125</v>
      </c>
      <c r="C40" s="52" t="s">
        <v>82</v>
      </c>
      <c r="D40" s="83">
        <f>'Reference VO 2017'!L23</f>
        <v>334</v>
      </c>
      <c r="E40" s="84">
        <f>'Reference VO 2017'!M23</f>
        <v>1765899.9999999998</v>
      </c>
      <c r="F40" s="241">
        <f t="shared" si="16"/>
        <v>1.2897526221750288E-2</v>
      </c>
      <c r="G40" s="241">
        <f t="shared" si="15"/>
        <v>4.3077737580645961</v>
      </c>
      <c r="H40" s="46">
        <f>SUMIFS(Forecasts!$G$5:$G$34,Forecasts!$B$5:$B$34,"Exit",Forecasts!$E$5:$E$34,$B40,Forecasts!$C$5:$C$34,H$6)*GCV*1000</f>
        <v>1765899.9999999995</v>
      </c>
      <c r="I40" s="46">
        <f>SUMIFS(Forecasts!$G$5:$G$34,Forecasts!$B$5:$B$34,"Exit",Forecasts!$E$5:$E$34,$B40,Forecasts!$C$5:$C$34,I$6)*GCV*1000</f>
        <v>0</v>
      </c>
      <c r="J40" s="51">
        <f t="shared" si="8"/>
        <v>0.17520734590906595</v>
      </c>
      <c r="K40" s="51">
        <f>1-discount_storage_exit</f>
        <v>0.5</v>
      </c>
      <c r="L40" s="263">
        <f t="shared" si="9"/>
        <v>8.4326142226940889E-2</v>
      </c>
      <c r="M40" s="263">
        <f>'Reference VO 2017'!N23</f>
        <v>0.4</v>
      </c>
      <c r="N40" s="51">
        <f t="shared" si="10"/>
        <v>0.9</v>
      </c>
      <c r="O40" s="263">
        <f t="shared" si="11"/>
        <v>7.5893528004246799E-2</v>
      </c>
      <c r="P40" s="263">
        <f>'Reference VO 2017'!O23</f>
        <v>0</v>
      </c>
      <c r="Q40" s="83">
        <f t="shared" si="12"/>
        <v>8.9347138163528225E-2</v>
      </c>
      <c r="R40" s="83">
        <f t="shared" si="13"/>
        <v>8.041242434717541E-2</v>
      </c>
      <c r="T40" s="371">
        <f>Q40*VTPB!H40</f>
        <v>263647.76897139318</v>
      </c>
      <c r="U40" s="372">
        <f>R40*VTPB!I40</f>
        <v>0</v>
      </c>
    </row>
    <row r="41" spans="1:21" x14ac:dyDescent="0.25">
      <c r="A41">
        <f t="shared" si="14"/>
        <v>10</v>
      </c>
      <c r="B41" s="54" t="s">
        <v>97</v>
      </c>
      <c r="C41" s="54" t="s">
        <v>80</v>
      </c>
      <c r="D41" s="83">
        <f>'Reference VO 2017'!L24</f>
        <v>24</v>
      </c>
      <c r="E41" s="84">
        <f>'Reference VO 2017'!M24</f>
        <v>4635629</v>
      </c>
      <c r="F41" s="241">
        <f t="shared" si="16"/>
        <v>3.385703979942583E-2</v>
      </c>
      <c r="G41" s="241">
        <f t="shared" si="15"/>
        <v>0.81256895518621985</v>
      </c>
      <c r="H41" s="84">
        <f>Forecasts!F16</f>
        <v>21422795</v>
      </c>
      <c r="I41" s="84">
        <f>Forecasts!F20+Forecasts!F21</f>
        <v>7014292</v>
      </c>
      <c r="J41" s="51">
        <f t="shared" si="8"/>
        <v>9.5928218457106376E-2</v>
      </c>
      <c r="K41" s="51">
        <v>1</v>
      </c>
      <c r="L41" s="263">
        <f t="shared" si="9"/>
        <v>9.233924012968496E-2</v>
      </c>
      <c r="M41" s="263">
        <f>'Reference VO 2017'!N24</f>
        <v>0.53</v>
      </c>
      <c r="N41" s="51">
        <f t="shared" si="10"/>
        <v>0.9</v>
      </c>
      <c r="O41" s="263">
        <f t="shared" si="11"/>
        <v>8.3105316116716468E-2</v>
      </c>
      <c r="P41" s="263">
        <f>'Reference VO 2017'!O24</f>
        <v>0.48</v>
      </c>
      <c r="Q41" s="83">
        <f t="shared" si="12"/>
        <v>9.7837356576551029E-2</v>
      </c>
      <c r="R41" s="83">
        <f t="shared" si="13"/>
        <v>8.8053620918895931E-2</v>
      </c>
      <c r="T41" s="371">
        <f>Q41*VTPB!H41</f>
        <v>0</v>
      </c>
      <c r="U41" s="372">
        <f>R41*VTPB!I41</f>
        <v>408183.91868664062</v>
      </c>
    </row>
    <row r="42" spans="1:21" x14ac:dyDescent="0.25">
      <c r="A42">
        <f t="shared" si="14"/>
        <v>11</v>
      </c>
      <c r="B42" s="54" t="s">
        <v>98</v>
      </c>
      <c r="C42" s="54" t="s">
        <v>80</v>
      </c>
      <c r="D42" s="83">
        <f>'Reference VO 2017'!L25</f>
        <v>78</v>
      </c>
      <c r="E42" s="84">
        <f>'Reference VO 2017'!M25</f>
        <v>0</v>
      </c>
      <c r="F42" s="241">
        <f t="shared" si="16"/>
        <v>0</v>
      </c>
      <c r="G42" s="241">
        <f t="shared" si="15"/>
        <v>0</v>
      </c>
      <c r="H42" s="84"/>
      <c r="I42" s="84"/>
      <c r="J42" s="51">
        <f t="shared" si="8"/>
        <v>9.5928218457106376E-2</v>
      </c>
      <c r="K42" s="51">
        <v>1</v>
      </c>
      <c r="L42" s="263">
        <f t="shared" si="9"/>
        <v>9.233924012968496E-2</v>
      </c>
      <c r="M42" s="263">
        <f>'Reference VO 2017'!N25</f>
        <v>0.53</v>
      </c>
      <c r="N42" s="51">
        <f t="shared" si="10"/>
        <v>0.9</v>
      </c>
      <c r="O42" s="263">
        <f t="shared" si="11"/>
        <v>8.3105316116716468E-2</v>
      </c>
      <c r="P42" s="263">
        <f>'Reference VO 2017'!O25</f>
        <v>0</v>
      </c>
      <c r="Q42" s="83">
        <f t="shared" si="12"/>
        <v>9.7837356576551029E-2</v>
      </c>
      <c r="R42" s="83">
        <f t="shared" si="13"/>
        <v>8.8053620918895931E-2</v>
      </c>
      <c r="T42" s="371">
        <f>Q42*VTPB!H42</f>
        <v>0</v>
      </c>
      <c r="U42" s="372">
        <f>R42*VTPB!I42</f>
        <v>0</v>
      </c>
    </row>
    <row r="43" spans="1:21" x14ac:dyDescent="0.25">
      <c r="A43">
        <f t="shared" si="14"/>
        <v>12</v>
      </c>
      <c r="B43" s="54" t="s">
        <v>99</v>
      </c>
      <c r="C43" s="54" t="s">
        <v>80</v>
      </c>
      <c r="D43" s="83">
        <f>'Reference VO 2017'!L26</f>
        <v>133</v>
      </c>
      <c r="E43" s="84">
        <f>'Reference VO 2017'!M26</f>
        <v>0</v>
      </c>
      <c r="F43" s="241">
        <f t="shared" si="16"/>
        <v>0</v>
      </c>
      <c r="G43" s="241">
        <f t="shared" si="15"/>
        <v>0</v>
      </c>
      <c r="H43" s="84"/>
      <c r="I43" s="84"/>
      <c r="J43" s="51">
        <f t="shared" si="8"/>
        <v>9.5928218457106376E-2</v>
      </c>
      <c r="K43" s="51">
        <v>1</v>
      </c>
      <c r="L43" s="263">
        <f t="shared" si="9"/>
        <v>9.233924012968496E-2</v>
      </c>
      <c r="M43" s="263">
        <f>'Reference VO 2017'!N26</f>
        <v>0.53</v>
      </c>
      <c r="N43" s="51">
        <f t="shared" si="10"/>
        <v>0.9</v>
      </c>
      <c r="O43" s="263">
        <f t="shared" si="11"/>
        <v>8.3105316116716468E-2</v>
      </c>
      <c r="P43" s="263">
        <f>'Reference VO 2017'!O26</f>
        <v>0</v>
      </c>
      <c r="Q43" s="83">
        <f t="shared" si="12"/>
        <v>9.7837356576551029E-2</v>
      </c>
      <c r="R43" s="83">
        <f t="shared" si="13"/>
        <v>8.8053620918895931E-2</v>
      </c>
      <c r="T43" s="371">
        <f>Q43*VTPB!H43</f>
        <v>0</v>
      </c>
      <c r="U43" s="372">
        <f>R43*VTPB!I43</f>
        <v>0</v>
      </c>
    </row>
    <row r="44" spans="1:21" x14ac:dyDescent="0.25">
      <c r="A44">
        <f t="shared" si="14"/>
        <v>13</v>
      </c>
      <c r="B44" s="54" t="s">
        <v>100</v>
      </c>
      <c r="C44" s="54" t="s">
        <v>80</v>
      </c>
      <c r="D44" s="83">
        <f>'Reference VO 2017'!L27</f>
        <v>185</v>
      </c>
      <c r="E44" s="84">
        <f>'Reference VO 2017'!M27</f>
        <v>0</v>
      </c>
      <c r="F44" s="241">
        <f t="shared" si="16"/>
        <v>0</v>
      </c>
      <c r="G44" s="241">
        <f t="shared" si="15"/>
        <v>0</v>
      </c>
      <c r="H44" s="84"/>
      <c r="I44" s="84"/>
      <c r="J44" s="51">
        <f t="shared" si="8"/>
        <v>9.5928218457106376E-2</v>
      </c>
      <c r="K44" s="51">
        <v>1</v>
      </c>
      <c r="L44" s="263">
        <f t="shared" si="9"/>
        <v>9.233924012968496E-2</v>
      </c>
      <c r="M44" s="263">
        <f>'Reference VO 2017'!N27</f>
        <v>0.53</v>
      </c>
      <c r="N44" s="51">
        <f t="shared" si="10"/>
        <v>0.9</v>
      </c>
      <c r="O44" s="263">
        <f t="shared" si="11"/>
        <v>8.3105316116716468E-2</v>
      </c>
      <c r="P44" s="263">
        <f>'Reference VO 2017'!O27</f>
        <v>0</v>
      </c>
      <c r="Q44" s="83">
        <f t="shared" si="12"/>
        <v>9.7837356576551029E-2</v>
      </c>
      <c r="R44" s="83">
        <f t="shared" si="13"/>
        <v>8.8053620918895931E-2</v>
      </c>
      <c r="T44" s="371">
        <f>Q44*VTPB!H44</f>
        <v>0</v>
      </c>
      <c r="U44" s="372">
        <f>R44*VTPB!I44</f>
        <v>0</v>
      </c>
    </row>
    <row r="45" spans="1:21" x14ac:dyDescent="0.25">
      <c r="A45">
        <f t="shared" si="14"/>
        <v>14</v>
      </c>
      <c r="B45" s="54" t="s">
        <v>101</v>
      </c>
      <c r="C45" s="54" t="s">
        <v>80</v>
      </c>
      <c r="D45" s="83">
        <f>'Reference VO 2017'!L28</f>
        <v>202</v>
      </c>
      <c r="E45" s="84">
        <f>'Reference VO 2017'!M28</f>
        <v>2378658</v>
      </c>
      <c r="F45" s="241">
        <f t="shared" si="16"/>
        <v>1.7372899896696357E-2</v>
      </c>
      <c r="G45" s="241">
        <f t="shared" si="15"/>
        <v>3.5093257791326642</v>
      </c>
      <c r="H45" s="84"/>
      <c r="I45" s="84"/>
      <c r="J45" s="51">
        <f t="shared" si="8"/>
        <v>9.5928218457106376E-2</v>
      </c>
      <c r="K45" s="51">
        <v>1</v>
      </c>
      <c r="L45" s="263">
        <f t="shared" si="9"/>
        <v>9.233924012968496E-2</v>
      </c>
      <c r="M45" s="263">
        <f>'Reference VO 2017'!N28</f>
        <v>0.53</v>
      </c>
      <c r="N45" s="51">
        <f t="shared" si="10"/>
        <v>0.9</v>
      </c>
      <c r="O45" s="263">
        <f t="shared" si="11"/>
        <v>8.3105316116716468E-2</v>
      </c>
      <c r="P45" s="263">
        <f>'Reference VO 2017'!O28</f>
        <v>0.48</v>
      </c>
      <c r="Q45" s="83">
        <f t="shared" si="12"/>
        <v>9.7837356576551029E-2</v>
      </c>
      <c r="R45" s="83">
        <f t="shared" si="13"/>
        <v>8.8053620918895931E-2</v>
      </c>
      <c r="T45" s="371">
        <f>Q45*VTPB!H45</f>
        <v>0</v>
      </c>
      <c r="U45" s="372">
        <f>R45*VTPB!I45</f>
        <v>209449.89009580374</v>
      </c>
    </row>
    <row r="46" spans="1:21" x14ac:dyDescent="0.25">
      <c r="A46">
        <f t="shared" si="14"/>
        <v>15</v>
      </c>
      <c r="B46" s="60" t="s">
        <v>102</v>
      </c>
      <c r="C46" s="54" t="s">
        <v>80</v>
      </c>
      <c r="D46" s="83">
        <f>'Reference VO 2017'!L29</f>
        <v>222</v>
      </c>
      <c r="E46" s="84">
        <f>'Reference VO 2017'!M29</f>
        <v>0</v>
      </c>
      <c r="F46" s="241">
        <f t="shared" si="16"/>
        <v>0</v>
      </c>
      <c r="G46" s="241">
        <f t="shared" si="15"/>
        <v>0</v>
      </c>
      <c r="H46" s="84"/>
      <c r="I46" s="84"/>
      <c r="J46" s="51">
        <f t="shared" si="8"/>
        <v>9.5928218457106376E-2</v>
      </c>
      <c r="K46" s="51">
        <v>1</v>
      </c>
      <c r="L46" s="263">
        <f t="shared" si="9"/>
        <v>9.233924012968496E-2</v>
      </c>
      <c r="M46" s="263">
        <f>'Reference VO 2017'!N29</f>
        <v>0.53</v>
      </c>
      <c r="N46" s="51">
        <f t="shared" si="10"/>
        <v>0.9</v>
      </c>
      <c r="O46" s="263">
        <f t="shared" si="11"/>
        <v>8.3105316116716468E-2</v>
      </c>
      <c r="P46" s="263">
        <f>'Reference VO 2017'!O29</f>
        <v>0</v>
      </c>
      <c r="Q46" s="83">
        <f t="shared" si="12"/>
        <v>9.7837356576551029E-2</v>
      </c>
      <c r="R46" s="83">
        <f t="shared" si="13"/>
        <v>8.8053620918895931E-2</v>
      </c>
      <c r="T46" s="371">
        <f>Q46*VTPB!H46</f>
        <v>0</v>
      </c>
      <c r="U46" s="372">
        <f>R46*VTPB!I46</f>
        <v>0</v>
      </c>
    </row>
    <row r="47" spans="1:21" x14ac:dyDescent="0.25">
      <c r="A47">
        <f t="shared" si="14"/>
        <v>16</v>
      </c>
      <c r="B47" s="60" t="s">
        <v>103</v>
      </c>
      <c r="C47" s="54" t="s">
        <v>80</v>
      </c>
      <c r="D47" s="83">
        <f>'Reference VO 2017'!L30</f>
        <v>0</v>
      </c>
      <c r="E47" s="84">
        <f>'Reference VO 2017'!M30</f>
        <v>21422795</v>
      </c>
      <c r="F47" s="241">
        <f t="shared" si="16"/>
        <v>0.15646472634672462</v>
      </c>
      <c r="G47" s="241">
        <f t="shared" si="15"/>
        <v>0</v>
      </c>
      <c r="H47" s="84"/>
      <c r="I47" s="84"/>
      <c r="J47" s="51">
        <f t="shared" si="8"/>
        <v>9.5928218457106376E-2</v>
      </c>
      <c r="K47" s="51">
        <v>1</v>
      </c>
      <c r="L47" s="263">
        <f t="shared" si="9"/>
        <v>9.233924012968496E-2</v>
      </c>
      <c r="M47" s="263">
        <f>'Reference VO 2017'!N30</f>
        <v>0.53</v>
      </c>
      <c r="N47" s="51">
        <f t="shared" si="10"/>
        <v>0.9</v>
      </c>
      <c r="O47" s="263">
        <f t="shared" si="11"/>
        <v>8.3105316116716468E-2</v>
      </c>
      <c r="P47" s="263">
        <f>'Reference VO 2017'!O30</f>
        <v>0</v>
      </c>
      <c r="Q47" s="83">
        <f t="shared" si="12"/>
        <v>9.7837356576551029E-2</v>
      </c>
      <c r="R47" s="83">
        <f t="shared" si="13"/>
        <v>8.8053620918895931E-2</v>
      </c>
      <c r="T47" s="371">
        <f>Q47*VTPB!H47</f>
        <v>2095949.6332813546</v>
      </c>
      <c r="U47" s="372">
        <f>R47*VTPB!I47</f>
        <v>0</v>
      </c>
    </row>
    <row r="48" spans="1:21" x14ac:dyDescent="0.25">
      <c r="A48">
        <f t="shared" si="14"/>
        <v>17</v>
      </c>
      <c r="B48" s="60" t="s">
        <v>104</v>
      </c>
      <c r="C48" s="54" t="s">
        <v>80</v>
      </c>
      <c r="D48" s="83">
        <f>'Reference VO 2017'!L31</f>
        <v>71.84778</v>
      </c>
      <c r="E48" s="84">
        <f>'Reference VO 2017'!M31</f>
        <v>1111503</v>
      </c>
      <c r="F48" s="241">
        <f t="shared" si="16"/>
        <v>8.1180356124662279E-3</v>
      </c>
      <c r="G48" s="241">
        <f t="shared" si="15"/>
        <v>0.58326283671663881</v>
      </c>
      <c r="H48" s="84">
        <f>+Forecasts!F32</f>
        <v>2957018</v>
      </c>
      <c r="I48" s="84"/>
      <c r="J48" s="51">
        <f t="shared" si="8"/>
        <v>9.5928218457106376E-2</v>
      </c>
      <c r="K48" s="51">
        <v>1</v>
      </c>
      <c r="L48" s="263">
        <f t="shared" si="9"/>
        <v>9.233924012968496E-2</v>
      </c>
      <c r="M48" s="263">
        <f>'Reference VO 2017'!N31</f>
        <v>0.53</v>
      </c>
      <c r="N48" s="51">
        <f t="shared" si="10"/>
        <v>0.9</v>
      </c>
      <c r="O48" s="263">
        <f t="shared" si="11"/>
        <v>8.3105316116716468E-2</v>
      </c>
      <c r="P48" s="263">
        <f>'Reference VO 2017'!O31</f>
        <v>0</v>
      </c>
      <c r="Q48" s="83">
        <f t="shared" si="12"/>
        <v>9.7837356576551029E-2</v>
      </c>
      <c r="R48" s="83">
        <f t="shared" si="13"/>
        <v>8.8053620918895931E-2</v>
      </c>
      <c r="T48" s="371">
        <f>Q48*VTPB!H48</f>
        <v>108746.51534690621</v>
      </c>
      <c r="U48" s="372">
        <f>R48*VTPB!I48</f>
        <v>0</v>
      </c>
    </row>
    <row r="49" spans="1:22" x14ac:dyDescent="0.25">
      <c r="A49">
        <f t="shared" si="14"/>
        <v>18</v>
      </c>
      <c r="B49" s="60" t="s">
        <v>105</v>
      </c>
      <c r="C49" s="54" t="s">
        <v>80</v>
      </c>
      <c r="D49" s="83">
        <f>'Reference VO 2017'!L32</f>
        <v>137.48994999999999</v>
      </c>
      <c r="E49" s="84">
        <f>'Reference VO 2017'!M32</f>
        <v>166731</v>
      </c>
      <c r="F49" s="241">
        <f t="shared" si="16"/>
        <v>1.2177458771610212E-3</v>
      </c>
      <c r="G49" s="241">
        <f t="shared" si="15"/>
        <v>0.16742781976357493</v>
      </c>
      <c r="H49" s="84"/>
      <c r="I49" s="84"/>
      <c r="J49" s="51">
        <f t="shared" si="8"/>
        <v>9.5928218457106376E-2</v>
      </c>
      <c r="K49" s="51">
        <v>1</v>
      </c>
      <c r="L49" s="263">
        <f t="shared" si="9"/>
        <v>9.233924012968496E-2</v>
      </c>
      <c r="M49" s="263">
        <f>'Reference VO 2017'!N32</f>
        <v>0.53</v>
      </c>
      <c r="N49" s="51">
        <f t="shared" si="10"/>
        <v>0.9</v>
      </c>
      <c r="O49" s="263">
        <f t="shared" si="11"/>
        <v>8.3105316116716468E-2</v>
      </c>
      <c r="P49" s="263">
        <f>'Reference VO 2017'!O32</f>
        <v>0</v>
      </c>
      <c r="Q49" s="83">
        <f t="shared" si="12"/>
        <v>9.7837356576551029E-2</v>
      </c>
      <c r="R49" s="83">
        <f t="shared" si="13"/>
        <v>8.8053620918895931E-2</v>
      </c>
      <c r="T49" s="371">
        <f>Q49*VTPB!H49</f>
        <v>16312.520299364929</v>
      </c>
      <c r="U49" s="372">
        <f>R49*VTPB!I49</f>
        <v>0</v>
      </c>
    </row>
    <row r="50" spans="1:22" x14ac:dyDescent="0.25">
      <c r="A50">
        <f t="shared" si="14"/>
        <v>19</v>
      </c>
      <c r="B50" s="60" t="s">
        <v>106</v>
      </c>
      <c r="C50" s="54" t="s">
        <v>80</v>
      </c>
      <c r="D50" s="83">
        <f>'Reference VO 2017'!L33</f>
        <v>180.23273</v>
      </c>
      <c r="E50" s="84">
        <f>'Reference VO 2017'!M33</f>
        <v>221439</v>
      </c>
      <c r="F50" s="241">
        <f t="shared" si="16"/>
        <v>1.6173142924390748E-3</v>
      </c>
      <c r="G50" s="241">
        <f t="shared" si="15"/>
        <v>0.29149297019431281</v>
      </c>
      <c r="H50" s="84"/>
      <c r="I50" s="84"/>
      <c r="J50" s="51">
        <f t="shared" si="8"/>
        <v>9.5928218457106376E-2</v>
      </c>
      <c r="K50" s="51">
        <v>1</v>
      </c>
      <c r="L50" s="263">
        <f t="shared" si="9"/>
        <v>9.233924012968496E-2</v>
      </c>
      <c r="M50" s="263">
        <f>'Reference VO 2017'!N33</f>
        <v>0.53</v>
      </c>
      <c r="N50" s="51">
        <f t="shared" si="10"/>
        <v>0.9</v>
      </c>
      <c r="O50" s="263">
        <f t="shared" si="11"/>
        <v>8.3105316116716468E-2</v>
      </c>
      <c r="P50" s="263">
        <f>'Reference VO 2017'!O33</f>
        <v>0</v>
      </c>
      <c r="Q50" s="83">
        <f t="shared" si="12"/>
        <v>9.7837356576551029E-2</v>
      </c>
      <c r="R50" s="83">
        <f t="shared" si="13"/>
        <v>8.8053620918895931E-2</v>
      </c>
      <c r="T50" s="371">
        <f>Q50*VTPB!H50</f>
        <v>21665.006402954885</v>
      </c>
      <c r="U50" s="372">
        <f>R50*VTPB!I50</f>
        <v>0</v>
      </c>
    </row>
    <row r="51" spans="1:22" x14ac:dyDescent="0.25">
      <c r="A51">
        <f t="shared" si="14"/>
        <v>20</v>
      </c>
      <c r="B51" s="60" t="s">
        <v>107</v>
      </c>
      <c r="C51" s="54" t="s">
        <v>80</v>
      </c>
      <c r="D51" s="83">
        <f>'Reference VO 2017'!L34</f>
        <v>210.69001</v>
      </c>
      <c r="E51" s="84">
        <f>'Reference VO 2017'!M34</f>
        <v>1952543</v>
      </c>
      <c r="F51" s="241">
        <f t="shared" si="16"/>
        <v>1.4260702498213361E-2</v>
      </c>
      <c r="G51" s="241">
        <f t="shared" si="15"/>
        <v>3.004587551955598</v>
      </c>
      <c r="H51" s="84"/>
      <c r="I51" s="84"/>
      <c r="J51" s="51">
        <f t="shared" si="8"/>
        <v>9.5928218457106376E-2</v>
      </c>
      <c r="K51" s="51">
        <v>1</v>
      </c>
      <c r="L51" s="263">
        <f t="shared" si="9"/>
        <v>9.233924012968496E-2</v>
      </c>
      <c r="M51" s="263">
        <f>'Reference VO 2017'!N34</f>
        <v>0.53</v>
      </c>
      <c r="N51" s="51">
        <f t="shared" si="10"/>
        <v>0.9</v>
      </c>
      <c r="O51" s="263">
        <f t="shared" si="11"/>
        <v>8.3105316116716468E-2</v>
      </c>
      <c r="P51" s="263">
        <f>'Reference VO 2017'!O34</f>
        <v>0</v>
      </c>
      <c r="Q51" s="83">
        <f t="shared" si="12"/>
        <v>9.7837356576551029E-2</v>
      </c>
      <c r="R51" s="83">
        <f t="shared" si="13"/>
        <v>8.8053620918895931E-2</v>
      </c>
      <c r="T51" s="371">
        <f>Q51*VTPB!H51</f>
        <v>191031.64572204868</v>
      </c>
      <c r="U51" s="372">
        <f>R51*VTPB!I51</f>
        <v>0</v>
      </c>
    </row>
    <row r="52" spans="1:22" x14ac:dyDescent="0.25">
      <c r="A52">
        <f t="shared" si="14"/>
        <v>21</v>
      </c>
      <c r="B52" s="60" t="s">
        <v>108</v>
      </c>
      <c r="C52" s="54" t="s">
        <v>80</v>
      </c>
      <c r="D52" s="83">
        <f>'Reference VO 2017'!L35</f>
        <v>231.34958</v>
      </c>
      <c r="E52" s="84">
        <f>'Reference VO 2017'!M35</f>
        <v>110456</v>
      </c>
      <c r="F52" s="241">
        <f t="shared" si="16"/>
        <v>8.0673263284990649E-4</v>
      </c>
      <c r="G52" s="241">
        <f t="shared" si="15"/>
        <v>0.18663725578212007</v>
      </c>
      <c r="H52" s="84"/>
      <c r="I52" s="84"/>
      <c r="J52" s="51">
        <f t="shared" si="8"/>
        <v>9.5928218457106376E-2</v>
      </c>
      <c r="K52" s="51">
        <v>1</v>
      </c>
      <c r="L52" s="263">
        <f t="shared" si="9"/>
        <v>9.233924012968496E-2</v>
      </c>
      <c r="M52" s="263">
        <f>'Reference VO 2017'!N35</f>
        <v>0.53</v>
      </c>
      <c r="N52" s="51">
        <f t="shared" si="10"/>
        <v>0.9</v>
      </c>
      <c r="O52" s="263">
        <f t="shared" si="11"/>
        <v>8.3105316116716468E-2</v>
      </c>
      <c r="P52" s="263">
        <f>'Reference VO 2017'!O35</f>
        <v>0</v>
      </c>
      <c r="Q52" s="83">
        <f t="shared" si="12"/>
        <v>9.7837356576551029E-2</v>
      </c>
      <c r="R52" s="83">
        <f t="shared" si="13"/>
        <v>8.8053620918895931E-2</v>
      </c>
      <c r="T52" s="371">
        <f>Q52*VTPB!H52</f>
        <v>10806.723058019521</v>
      </c>
      <c r="U52" s="372">
        <f>R52*VTPB!I52</f>
        <v>0</v>
      </c>
    </row>
    <row r="53" spans="1:22" x14ac:dyDescent="0.25">
      <c r="A53">
        <f t="shared" si="14"/>
        <v>22</v>
      </c>
      <c r="B53" s="60" t="s">
        <v>109</v>
      </c>
      <c r="C53" s="54" t="s">
        <v>84</v>
      </c>
      <c r="D53" s="83">
        <f>'Reference VO 2017'!L36</f>
        <v>268.73602</v>
      </c>
      <c r="E53" s="84">
        <f>'Reference VO 2017'!M36</f>
        <v>55223</v>
      </c>
      <c r="F53" s="241">
        <f t="shared" si="16"/>
        <v>4.0332979814469461E-4</v>
      </c>
      <c r="G53" s="241">
        <f t="shared" si="15"/>
        <v>0.10838924470080862</v>
      </c>
      <c r="H53" s="84">
        <f>Forecasts!F33</f>
        <v>391653</v>
      </c>
      <c r="I53" s="84"/>
      <c r="J53" s="51">
        <f t="shared" si="8"/>
        <v>0.88624017147884304</v>
      </c>
      <c r="K53" s="51">
        <v>1</v>
      </c>
      <c r="L53" s="263">
        <f t="shared" si="9"/>
        <v>0.85308312113968721</v>
      </c>
      <c r="M53" s="263">
        <f>'Reference VO 2017'!N36</f>
        <v>4.2</v>
      </c>
      <c r="N53" s="51">
        <f t="shared" si="10"/>
        <v>0.9</v>
      </c>
      <c r="O53" s="263">
        <f t="shared" si="11"/>
        <v>0.76777480902571849</v>
      </c>
      <c r="P53" s="263">
        <f>'Reference VO 2017'!O36</f>
        <v>0</v>
      </c>
      <c r="Q53" s="83">
        <f t="shared" si="12"/>
        <v>0.90387788978078309</v>
      </c>
      <c r="R53" s="83">
        <f t="shared" si="13"/>
        <v>0.81349010080270479</v>
      </c>
      <c r="T53" s="371">
        <f>Q53*VTPB!H53</f>
        <v>49914.848707364188</v>
      </c>
      <c r="U53" s="372">
        <f>R53*VTPB!I53</f>
        <v>0</v>
      </c>
    </row>
    <row r="54" spans="1:22" x14ac:dyDescent="0.25">
      <c r="A54">
        <f t="shared" si="14"/>
        <v>23</v>
      </c>
      <c r="B54" s="60" t="s">
        <v>110</v>
      </c>
      <c r="C54" s="54" t="s">
        <v>84</v>
      </c>
      <c r="D54" s="83">
        <f>'Reference VO 2017'!L37</f>
        <v>300.39652000000001</v>
      </c>
      <c r="E54" s="84">
        <f>'Reference VO 2017'!M37</f>
        <v>22022</v>
      </c>
      <c r="F54" s="241">
        <f t="shared" si="16"/>
        <v>1.6084111357120157E-4</v>
      </c>
      <c r="G54" s="241">
        <f t="shared" si="15"/>
        <v>4.8316110789713727E-2</v>
      </c>
      <c r="H54" s="84"/>
      <c r="I54" s="84"/>
      <c r="J54" s="51">
        <f t="shared" si="8"/>
        <v>0.88624017147884304</v>
      </c>
      <c r="K54" s="51">
        <v>1</v>
      </c>
      <c r="L54" s="263">
        <f t="shared" si="9"/>
        <v>0.85308312113968721</v>
      </c>
      <c r="M54" s="263">
        <f>'Reference VO 2017'!N37</f>
        <v>4.2</v>
      </c>
      <c r="N54" s="51">
        <f t="shared" si="10"/>
        <v>0.9</v>
      </c>
      <c r="O54" s="263">
        <f t="shared" si="11"/>
        <v>0.76777480902571849</v>
      </c>
      <c r="P54" s="263">
        <f>'Reference VO 2017'!O37</f>
        <v>0</v>
      </c>
      <c r="Q54" s="83">
        <f t="shared" si="12"/>
        <v>0.90387788978078309</v>
      </c>
      <c r="R54" s="83">
        <f t="shared" si="13"/>
        <v>0.81349010080270479</v>
      </c>
      <c r="T54" s="371">
        <f>Q54*VTPB!H54</f>
        <v>19905.198888752406</v>
      </c>
      <c r="U54" s="372">
        <f>R54*VTPB!I54</f>
        <v>0</v>
      </c>
    </row>
    <row r="55" spans="1:22" x14ac:dyDescent="0.25">
      <c r="A55">
        <f t="shared" si="14"/>
        <v>24</v>
      </c>
      <c r="B55" s="60" t="s">
        <v>111</v>
      </c>
      <c r="C55" s="54" t="s">
        <v>84</v>
      </c>
      <c r="D55" s="83">
        <f>'Reference VO 2017'!L38</f>
        <v>320.51218999999998</v>
      </c>
      <c r="E55" s="84">
        <f>'Reference VO 2017'!M38</f>
        <v>110087</v>
      </c>
      <c r="F55" s="241">
        <f t="shared" si="16"/>
        <v>8.0403758376681805E-4</v>
      </c>
      <c r="G55" s="241">
        <f t="shared" si="15"/>
        <v>0.25770384681541131</v>
      </c>
      <c r="H55" s="84"/>
      <c r="I55" s="84"/>
      <c r="J55" s="51">
        <f t="shared" si="8"/>
        <v>0.88624017147884304</v>
      </c>
      <c r="K55" s="51">
        <v>1</v>
      </c>
      <c r="L55" s="263">
        <f t="shared" si="9"/>
        <v>0.85308312113968721</v>
      </c>
      <c r="M55" s="263">
        <f>'Reference VO 2017'!N38</f>
        <v>4.2</v>
      </c>
      <c r="N55" s="51">
        <f t="shared" si="10"/>
        <v>0.9</v>
      </c>
      <c r="O55" s="263">
        <f t="shared" si="11"/>
        <v>0.76777480902571849</v>
      </c>
      <c r="P55" s="263">
        <f>'Reference VO 2017'!O38</f>
        <v>0</v>
      </c>
      <c r="Q55" s="83">
        <f t="shared" si="12"/>
        <v>0.90387788978078309</v>
      </c>
      <c r="R55" s="83">
        <f t="shared" si="13"/>
        <v>0.81349010080270479</v>
      </c>
      <c r="T55" s="371">
        <f>Q55*VTPB!H55</f>
        <v>99505.205252297063</v>
      </c>
      <c r="U55" s="372">
        <f>R55*VTPB!I55</f>
        <v>0</v>
      </c>
    </row>
    <row r="56" spans="1:22" x14ac:dyDescent="0.25">
      <c r="A56">
        <f t="shared" si="14"/>
        <v>25</v>
      </c>
      <c r="B56" s="60" t="s">
        <v>112</v>
      </c>
      <c r="C56" s="54" t="s">
        <v>84</v>
      </c>
      <c r="D56" s="83">
        <f>'Reference VO 2017'!L39</f>
        <v>361.42469</v>
      </c>
      <c r="E56" s="84">
        <f>'Reference VO 2017'!M39</f>
        <v>284539</v>
      </c>
      <c r="F56" s="241">
        <f t="shared" si="16"/>
        <v>2.0781749893032477E-3</v>
      </c>
      <c r="G56" s="241">
        <f t="shared" si="15"/>
        <v>0.75110375127467965</v>
      </c>
      <c r="H56" s="84"/>
      <c r="I56" s="84"/>
      <c r="J56" s="51">
        <f t="shared" si="8"/>
        <v>0.88624017147884304</v>
      </c>
      <c r="K56" s="51">
        <v>1</v>
      </c>
      <c r="L56" s="263">
        <f t="shared" si="9"/>
        <v>0.85308312113968721</v>
      </c>
      <c r="M56" s="263">
        <f>'Reference VO 2017'!N39</f>
        <v>4.2</v>
      </c>
      <c r="N56" s="51">
        <f t="shared" si="10"/>
        <v>0.9</v>
      </c>
      <c r="O56" s="263">
        <f t="shared" si="11"/>
        <v>0.76777480902571849</v>
      </c>
      <c r="P56" s="263">
        <f>'Reference VO 2017'!O39</f>
        <v>0</v>
      </c>
      <c r="Q56" s="83">
        <f t="shared" si="12"/>
        <v>0.90387788978078309</v>
      </c>
      <c r="R56" s="83">
        <f t="shared" si="13"/>
        <v>0.81349010080270479</v>
      </c>
      <c r="T56" s="373">
        <f>Q56*VTPB!H56</f>
        <v>257188.51088033424</v>
      </c>
      <c r="U56" s="374">
        <f>R56*VTPB!I56</f>
        <v>0</v>
      </c>
    </row>
    <row r="57" spans="1:22" x14ac:dyDescent="0.25">
      <c r="A57">
        <v>26</v>
      </c>
      <c r="B57" s="54" t="s">
        <v>248</v>
      </c>
      <c r="C57" s="241"/>
      <c r="D57" s="52"/>
      <c r="E57" s="52"/>
      <c r="F57" s="52"/>
      <c r="G57" s="52"/>
      <c r="H57" s="67"/>
      <c r="I57" s="67"/>
      <c r="J57" s="67"/>
      <c r="K57" s="380"/>
      <c r="L57" s="380"/>
      <c r="M57" s="380"/>
      <c r="N57" s="381"/>
      <c r="O57" s="381"/>
      <c r="P57" s="381"/>
      <c r="Q57" s="83">
        <f>Q52</f>
        <v>9.7837356576551029E-2</v>
      </c>
      <c r="R57" s="83">
        <f>R52</f>
        <v>8.8053620918895931E-2</v>
      </c>
      <c r="T57">
        <f>SUM(T32:T56)</f>
        <v>71919172.844135299</v>
      </c>
      <c r="U57" s="262">
        <f>SUM(U32:U56)</f>
        <v>4851905.7625369886</v>
      </c>
    </row>
    <row r="58" spans="1:22" x14ac:dyDescent="0.25">
      <c r="A58">
        <v>27</v>
      </c>
      <c r="B58" s="54" t="s">
        <v>247</v>
      </c>
      <c r="C58" s="39"/>
      <c r="E58" s="52"/>
      <c r="F58" s="52"/>
      <c r="G58" s="52"/>
      <c r="H58" s="67"/>
      <c r="I58" s="67"/>
      <c r="J58" s="67"/>
      <c r="K58" s="380"/>
      <c r="L58" s="380"/>
      <c r="M58" s="380"/>
      <c r="N58" s="381"/>
      <c r="O58" s="381"/>
      <c r="P58" s="56"/>
      <c r="Q58" s="83">
        <f>Q53</f>
        <v>0.90387788978078309</v>
      </c>
      <c r="R58" s="83">
        <f>R53</f>
        <v>0.81349010080270479</v>
      </c>
    </row>
    <row r="59" spans="1:22" x14ac:dyDescent="0.25">
      <c r="C59" s="39"/>
      <c r="D59" s="38"/>
      <c r="E59" s="39"/>
      <c r="F59" s="39"/>
      <c r="G59" s="37"/>
      <c r="H59" s="55"/>
      <c r="I59" s="55"/>
      <c r="J59" s="52"/>
      <c r="L59" s="40"/>
      <c r="M59" s="40"/>
    </row>
    <row r="60" spans="1:22" x14ac:dyDescent="0.25">
      <c r="A60" s="33" t="s">
        <v>115</v>
      </c>
      <c r="J60" s="52"/>
      <c r="V60" s="57"/>
    </row>
    <row r="61" spans="1:22" ht="45" x14ac:dyDescent="0.25">
      <c r="A61" s="35" t="s">
        <v>48</v>
      </c>
      <c r="B61" s="35" t="s">
        <v>123</v>
      </c>
      <c r="C61" s="35" t="str">
        <f>+E31</f>
        <v>Relevant technical capacity (TVK)</v>
      </c>
      <c r="D61" s="35" t="s">
        <v>63</v>
      </c>
      <c r="E61" s="35" t="s">
        <v>64</v>
      </c>
      <c r="F61" s="35" t="s">
        <v>148</v>
      </c>
      <c r="G61" s="35" t="s">
        <v>149</v>
      </c>
      <c r="H61" s="65" t="s">
        <v>89</v>
      </c>
      <c r="V61" s="57"/>
    </row>
    <row r="62" spans="1:22" x14ac:dyDescent="0.25">
      <c r="A62">
        <f>1</f>
        <v>1</v>
      </c>
      <c r="B62" t="s">
        <v>83</v>
      </c>
      <c r="C62" s="66">
        <f t="shared" ref="C62:C68" si="17">SUMIF($C$32:$C$56,$B62,E$32:E$56)</f>
        <v>50014969</v>
      </c>
      <c r="D62" s="46">
        <f>+SUMPRODUCT(($C$32:$C$56=B62)*$D$32:$D$56*$E$32:$E$56)/C62</f>
        <v>381.59447</v>
      </c>
      <c r="E62" s="37">
        <f>D62/$D$32</f>
        <v>1</v>
      </c>
      <c r="F62" s="46">
        <f t="shared" ref="F62:G68" si="18">SUMIF($C$32:$C$56,$B62,H$32:H$56)</f>
        <v>43571929</v>
      </c>
      <c r="G62" s="46">
        <f t="shared" si="18"/>
        <v>0</v>
      </c>
      <c r="H62" s="61">
        <f t="shared" ref="H62:H68" si="19">1-discount_DZK</f>
        <v>0.9</v>
      </c>
      <c r="K62" s="58"/>
      <c r="V62" s="57"/>
    </row>
    <row r="63" spans="1:22" x14ac:dyDescent="0.25">
      <c r="A63">
        <v>2</v>
      </c>
      <c r="B63" t="s">
        <v>79</v>
      </c>
      <c r="C63" s="66">
        <f t="shared" si="17"/>
        <v>4688610</v>
      </c>
      <c r="D63" s="46">
        <f t="shared" ref="D63:D68" si="20">+SUMPRODUCT(($C$32:$C$56=B63)*$D$32:$D$56*$E$32:$E$56)/C63</f>
        <v>238</v>
      </c>
      <c r="E63" s="37">
        <f t="shared" ref="E63:E68" si="21">D63/$D$32</f>
        <v>0.62369876586523909</v>
      </c>
      <c r="F63" s="46">
        <f t="shared" si="18"/>
        <v>1810849.9747649301</v>
      </c>
      <c r="G63" s="46">
        <f t="shared" si="18"/>
        <v>0</v>
      </c>
      <c r="H63" s="61">
        <f t="shared" si="19"/>
        <v>0.9</v>
      </c>
      <c r="K63" s="58"/>
      <c r="V63" s="57"/>
    </row>
    <row r="64" spans="1:22" x14ac:dyDescent="0.25">
      <c r="A64">
        <v>3</v>
      </c>
      <c r="B64" t="str">
        <f>+C33</f>
        <v>Exit East</v>
      </c>
      <c r="C64" s="66">
        <f t="shared" si="17"/>
        <v>17769300</v>
      </c>
      <c r="D64" s="46">
        <f>+SUMPRODUCT(($C$32:$C$56=B64)*$D$32:$D$56*$E$32:$E$56)/C64</f>
        <v>158.67309348145398</v>
      </c>
      <c r="E64" s="37">
        <f t="shared" si="21"/>
        <v>0.41581601924538891</v>
      </c>
      <c r="F64" s="46">
        <f t="shared" si="18"/>
        <v>14347891.061722172</v>
      </c>
      <c r="G64" s="46">
        <f t="shared" si="18"/>
        <v>0</v>
      </c>
      <c r="H64" s="61">
        <f t="shared" si="19"/>
        <v>0.9</v>
      </c>
      <c r="K64" s="58"/>
      <c r="V64" s="57"/>
    </row>
    <row r="65" spans="1:11" x14ac:dyDescent="0.25">
      <c r="A65">
        <v>5</v>
      </c>
      <c r="B65" t="s">
        <v>78</v>
      </c>
      <c r="C65" s="66">
        <f t="shared" si="17"/>
        <v>22933825</v>
      </c>
      <c r="D65" s="46">
        <f t="shared" si="20"/>
        <v>272.1294049291821</v>
      </c>
      <c r="E65" s="37">
        <f t="shared" si="21"/>
        <v>0.71313770592425541</v>
      </c>
      <c r="F65" s="46">
        <f t="shared" si="18"/>
        <v>14873464.004296182</v>
      </c>
      <c r="G65" s="46">
        <f t="shared" si="18"/>
        <v>6431372.0000000019</v>
      </c>
      <c r="H65" s="61">
        <f t="shared" si="19"/>
        <v>0.9</v>
      </c>
      <c r="K65" s="58"/>
    </row>
    <row r="66" spans="1:11" x14ac:dyDescent="0.25">
      <c r="A66">
        <v>6</v>
      </c>
      <c r="B66" t="s">
        <v>80</v>
      </c>
      <c r="C66" s="66">
        <f t="shared" si="17"/>
        <v>31999754</v>
      </c>
      <c r="D66" s="46">
        <f t="shared" si="20"/>
        <v>36.605677680183724</v>
      </c>
      <c r="E66" s="37">
        <f t="shared" si="21"/>
        <v>9.5928218457106376E-2</v>
      </c>
      <c r="F66" s="46">
        <f t="shared" si="18"/>
        <v>24379813</v>
      </c>
      <c r="G66" s="46">
        <f t="shared" si="18"/>
        <v>7014292</v>
      </c>
      <c r="H66" s="61">
        <f t="shared" si="19"/>
        <v>0.9</v>
      </c>
      <c r="K66" s="58"/>
    </row>
    <row r="67" spans="1:11" x14ac:dyDescent="0.25">
      <c r="A67">
        <v>7</v>
      </c>
      <c r="B67" t="s">
        <v>84</v>
      </c>
      <c r="C67" s="66">
        <f t="shared" si="17"/>
        <v>471871</v>
      </c>
      <c r="D67" s="46">
        <f t="shared" si="20"/>
        <v>338.18434852817825</v>
      </c>
      <c r="E67" s="37">
        <f t="shared" si="21"/>
        <v>0.88624017147884304</v>
      </c>
      <c r="F67" s="46">
        <f t="shared" si="18"/>
        <v>391653</v>
      </c>
      <c r="G67" s="46">
        <f t="shared" si="18"/>
        <v>0</v>
      </c>
      <c r="H67" s="61">
        <f t="shared" si="19"/>
        <v>0.9</v>
      </c>
      <c r="K67" s="58"/>
    </row>
    <row r="68" spans="1:11" x14ac:dyDescent="0.25">
      <c r="A68">
        <v>8</v>
      </c>
      <c r="B68" t="s">
        <v>82</v>
      </c>
      <c r="C68" s="66">
        <f t="shared" si="17"/>
        <v>9039400</v>
      </c>
      <c r="D68" s="46">
        <f t="shared" si="20"/>
        <v>66.858154302276688</v>
      </c>
      <c r="E68" s="37">
        <f t="shared" si="21"/>
        <v>0.17520734590906595</v>
      </c>
      <c r="F68" s="46">
        <f t="shared" si="18"/>
        <v>8428938</v>
      </c>
      <c r="G68" s="46">
        <f t="shared" si="18"/>
        <v>0</v>
      </c>
      <c r="H68" s="61">
        <f t="shared" si="19"/>
        <v>0.9</v>
      </c>
      <c r="K68" s="58"/>
    </row>
    <row r="69" spans="1:11" x14ac:dyDescent="0.25">
      <c r="F69" s="38"/>
      <c r="G69" s="38"/>
    </row>
    <row r="70" spans="1:11" x14ac:dyDescent="0.25">
      <c r="B70" s="29" t="s">
        <v>422</v>
      </c>
      <c r="C70" s="53">
        <f>1-EX_split_entry_theor_comm</f>
        <v>0.74225258567919572</v>
      </c>
      <c r="E70" s="37"/>
    </row>
    <row r="71" spans="1:11" x14ac:dyDescent="0.25">
      <c r="B71" s="29" t="s">
        <v>117</v>
      </c>
      <c r="C71" s="31">
        <f>(1-EX_split_entry_theor_comm)*costs_commodity</f>
        <v>67544985.296806812</v>
      </c>
    </row>
    <row r="72" spans="1:11" x14ac:dyDescent="0.25">
      <c r="B72" s="29" t="s">
        <v>118</v>
      </c>
      <c r="C72" s="66">
        <f>C71/(SUMPRODUCT($E$62:$E$68,$F$62:$F$68)+SUMPRODUCT($E$62:$E$68,$G$62:$G$68,$H$62:$H$68))</f>
        <v>0.96258683435233183</v>
      </c>
    </row>
    <row r="73" spans="1:11" x14ac:dyDescent="0.25">
      <c r="B73" s="29" t="s">
        <v>94</v>
      </c>
      <c r="C73" s="375">
        <f>rescaling_entry_comm</f>
        <v>1.0595425784221777</v>
      </c>
    </row>
    <row r="74" spans="1:11" x14ac:dyDescent="0.25">
      <c r="B74" s="29"/>
      <c r="D74" s="59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tabColor theme="4"/>
  </sheetPr>
  <dimension ref="A1:W41"/>
  <sheetViews>
    <sheetView zoomScale="85" zoomScaleNormal="85" workbookViewId="0">
      <selection activeCell="G21" sqref="G21"/>
    </sheetView>
  </sheetViews>
  <sheetFormatPr baseColWidth="10" defaultColWidth="11.42578125" defaultRowHeight="15" x14ac:dyDescent="0.25"/>
  <cols>
    <col min="1" max="1" width="2" style="121" customWidth="1"/>
    <col min="2" max="2" width="3" style="121" bestFit="1" customWidth="1"/>
    <col min="3" max="3" width="18.5703125" style="121" customWidth="1"/>
    <col min="4" max="4" width="13" style="121" customWidth="1"/>
    <col min="5" max="14" width="13.140625" style="121" customWidth="1"/>
    <col min="15" max="15" width="15.5703125" style="121" customWidth="1"/>
    <col min="16" max="16" width="9.140625" style="121" customWidth="1"/>
    <col min="17" max="17" width="11.5703125" style="121" customWidth="1"/>
    <col min="18" max="18" width="10.85546875" style="121" customWidth="1"/>
    <col min="19" max="19" width="11.85546875" style="121" customWidth="1"/>
    <col min="20" max="20" width="13.140625" style="121" customWidth="1"/>
    <col min="21" max="21" width="15.5703125" style="121" customWidth="1"/>
    <col min="22" max="16384" width="11.42578125" style="121"/>
  </cols>
  <sheetData>
    <row r="1" spans="1:2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x14ac:dyDescent="0.25">
      <c r="A2" s="120"/>
      <c r="B2" s="120"/>
      <c r="C2" s="122"/>
      <c r="D2" s="122"/>
      <c r="E2" s="601" t="s">
        <v>69</v>
      </c>
      <c r="F2" s="602"/>
      <c r="G2" s="602"/>
      <c r="H2" s="602"/>
      <c r="I2" s="602"/>
      <c r="J2" s="602"/>
      <c r="K2" s="602"/>
      <c r="L2" s="602"/>
      <c r="M2" s="603"/>
      <c r="N2" s="292"/>
      <c r="O2" s="120"/>
      <c r="P2" s="120"/>
      <c r="Q2" s="120"/>
      <c r="R2" s="120"/>
      <c r="S2" s="120"/>
      <c r="T2" s="120"/>
      <c r="U2" s="120"/>
    </row>
    <row r="3" spans="1:21" x14ac:dyDescent="0.25">
      <c r="A3" s="120"/>
      <c r="C3" s="183" t="s">
        <v>199</v>
      </c>
      <c r="D3" s="183"/>
      <c r="E3" s="185" t="s">
        <v>197</v>
      </c>
      <c r="F3" s="185" t="s">
        <v>197</v>
      </c>
      <c r="G3" s="185" t="s">
        <v>197</v>
      </c>
      <c r="H3" s="185" t="s">
        <v>197</v>
      </c>
      <c r="I3" s="185" t="s">
        <v>197</v>
      </c>
      <c r="J3" s="185" t="s">
        <v>197</v>
      </c>
      <c r="K3" s="185" t="s">
        <v>198</v>
      </c>
      <c r="L3" s="185" t="s">
        <v>198</v>
      </c>
      <c r="M3" s="185" t="s">
        <v>198</v>
      </c>
      <c r="N3" s="157" t="s">
        <v>88</v>
      </c>
      <c r="O3" s="157" t="s">
        <v>88</v>
      </c>
      <c r="P3" s="157" t="s">
        <v>174</v>
      </c>
      <c r="Q3" s="157" t="s">
        <v>174</v>
      </c>
      <c r="R3" s="157" t="s">
        <v>174</v>
      </c>
      <c r="S3" s="157" t="s">
        <v>175</v>
      </c>
      <c r="T3" s="157" t="s">
        <v>175</v>
      </c>
      <c r="U3" s="157" t="s">
        <v>131</v>
      </c>
    </row>
    <row r="4" spans="1:21" ht="75" x14ac:dyDescent="0.25">
      <c r="A4" s="120"/>
      <c r="B4" s="127"/>
      <c r="C4" s="597"/>
      <c r="D4" s="598"/>
      <c r="E4" s="152" t="s">
        <v>77</v>
      </c>
      <c r="F4" s="152" t="s">
        <v>78</v>
      </c>
      <c r="G4" s="152" t="s">
        <v>78</v>
      </c>
      <c r="H4" s="152" t="s">
        <v>83</v>
      </c>
      <c r="I4" s="152" t="s">
        <v>79</v>
      </c>
      <c r="J4" s="152" t="s">
        <v>82</v>
      </c>
      <c r="K4" s="152" t="s">
        <v>84</v>
      </c>
      <c r="L4" s="152" t="s">
        <v>80</v>
      </c>
      <c r="M4" s="152" t="s">
        <v>80</v>
      </c>
      <c r="N4" s="137" t="s">
        <v>181</v>
      </c>
      <c r="O4" s="137" t="s">
        <v>183</v>
      </c>
      <c r="P4" s="137" t="s">
        <v>371</v>
      </c>
      <c r="Q4" s="137" t="s">
        <v>179</v>
      </c>
      <c r="R4" s="137" t="s">
        <v>180</v>
      </c>
      <c r="S4" s="137" t="s">
        <v>162</v>
      </c>
      <c r="T4" s="137" t="s">
        <v>163</v>
      </c>
      <c r="U4" s="137" t="s">
        <v>178</v>
      </c>
    </row>
    <row r="5" spans="1:21" x14ac:dyDescent="0.25">
      <c r="A5" s="120"/>
      <c r="B5" s="127"/>
      <c r="C5" s="599"/>
      <c r="D5" s="600"/>
      <c r="E5" s="189" t="s">
        <v>70</v>
      </c>
      <c r="F5" s="189" t="s">
        <v>70</v>
      </c>
      <c r="G5" s="190" t="s">
        <v>71</v>
      </c>
      <c r="H5" s="189" t="s">
        <v>70</v>
      </c>
      <c r="I5" s="189" t="s">
        <v>70</v>
      </c>
      <c r="J5" s="189" t="s">
        <v>70</v>
      </c>
      <c r="K5" s="189" t="s">
        <v>70</v>
      </c>
      <c r="L5" s="189" t="s">
        <v>70</v>
      </c>
      <c r="M5" s="190" t="s">
        <v>71</v>
      </c>
      <c r="N5" s="137"/>
      <c r="O5" s="137"/>
      <c r="P5" s="137"/>
      <c r="Q5" s="137"/>
      <c r="R5" s="137"/>
      <c r="S5" s="182"/>
      <c r="T5" s="137"/>
      <c r="U5" s="137"/>
    </row>
    <row r="6" spans="1:21" ht="14.45" customHeight="1" x14ac:dyDescent="0.25">
      <c r="A6" s="120"/>
      <c r="B6" s="605" t="s">
        <v>57</v>
      </c>
      <c r="C6" s="149" t="s">
        <v>56</v>
      </c>
      <c r="D6" s="192" t="s">
        <v>71</v>
      </c>
      <c r="E6" s="165">
        <f>'CWD Weights'!D5</f>
        <v>402.16178878422176</v>
      </c>
      <c r="F6" s="165">
        <f>'CWD Weights'!E5</f>
        <v>652.27248187846715</v>
      </c>
      <c r="G6" s="165">
        <f t="shared" ref="G6:G12" si="0">F6</f>
        <v>652.27248187846715</v>
      </c>
      <c r="H6" s="165">
        <v>0</v>
      </c>
      <c r="I6" s="165">
        <f>'Reference VO 2017'!L18+'Reference VO 2017'!L5-2*'Reference VO 2017'!L34</f>
        <v>198.21445</v>
      </c>
      <c r="J6" s="165">
        <f>'CWD Weights'!H5</f>
        <v>453.14994662113543</v>
      </c>
      <c r="K6" s="165">
        <f>'CWD Weights'!I5</f>
        <v>43.410121471821753</v>
      </c>
      <c r="L6" s="165">
        <f>'CWD Weights'!J5</f>
        <v>382.64254487678903</v>
      </c>
      <c r="M6" s="165">
        <f>L6</f>
        <v>382.64254487678903</v>
      </c>
      <c r="N6" s="181">
        <f t="shared" ref="N6:N15" si="1">(SUMPRODUCT($E6:$M6*$E$16:$M$16*($E$3:$M$3="Intra")))/((SUMPRODUCT($E$16:$M$16*($E$3:$M$3="Intra"))))</f>
        <v>378.46264152750206</v>
      </c>
      <c r="O6" s="181">
        <f t="shared" ref="O6:O15" si="2">(SUMPRODUCT($E6:$M6*$E$16:$M$16*($E$3:$M$3="Cross")))/((SUMPRODUCT($E$16:$M$16*($E$3:$M$3="Cross"))))</f>
        <v>266.53316279350759</v>
      </c>
      <c r="P6" s="477">
        <f>SUMIFS(Forecasts!$F$5:$F$34,Forecasts!$B$5:$B$34,$B$6,Forecasts!$E$5:$E$34,$C6,Forecasts!$C$5:$C$34,$D6)/1000</f>
        <v>521.33100000000002</v>
      </c>
      <c r="Q6" s="155">
        <f>P6-R6</f>
        <v>68.838125456637158</v>
      </c>
      <c r="R6" s="155">
        <f t="shared" ref="R6:R15" si="3">P6/SUM($P$6:$P$15)*SUMIF($E$3:$M$3,"Cross",$E$16:$M$16)</f>
        <v>452.49287454336286</v>
      </c>
      <c r="S6" s="154">
        <f>N6*Q6</f>
        <v>26052.658798120483</v>
      </c>
      <c r="T6" s="154">
        <f>O6*R6</f>
        <v>120604.35699356833</v>
      </c>
      <c r="U6" s="156">
        <f>Overview!G51</f>
        <v>0.68200000000000005</v>
      </c>
    </row>
    <row r="7" spans="1:21" x14ac:dyDescent="0.25">
      <c r="A7" s="120"/>
      <c r="B7" s="606"/>
      <c r="C7" s="149" t="s">
        <v>58</v>
      </c>
      <c r="D7" s="191" t="s">
        <v>70</v>
      </c>
      <c r="E7" s="165">
        <f>(Distances!E6*0+Distances!E10*Distances!H10+Distances!E7*Distances!G7)/(Distances!E6+Distances!E10+Distances!E7)</f>
        <v>20.567318784221769</v>
      </c>
      <c r="F7" s="165">
        <f>(Distances!G9*Distances!E9+Distances!G11*Distances!E11)/(Distances!E9+Distances!E11)</f>
        <v>270.67801187846715</v>
      </c>
      <c r="G7" s="165">
        <f t="shared" si="0"/>
        <v>270.67801187846715</v>
      </c>
      <c r="H7" s="165">
        <f>Distances!G5</f>
        <v>381.59447</v>
      </c>
      <c r="I7" s="165">
        <f>Distances!G8</f>
        <v>238</v>
      </c>
      <c r="J7" s="165">
        <f>(Distances!G29*Distances!E29+Distances!G12*Distances!E12)/(Distances!E29+Distances!E12)</f>
        <v>71.555476621135412</v>
      </c>
      <c r="K7" s="165">
        <f>SUMPRODUCT(Distances!E25:E28,Distances!G25:G28)/SUM(Distances!E25:E28)</f>
        <v>338.18434852817825</v>
      </c>
      <c r="L7" s="165">
        <f>M7</f>
        <v>37.275145170465059</v>
      </c>
      <c r="M7" s="165">
        <f>SUMPRODUCT(Distances!E13:E24,Distances!G13:G24)/SUM(Distances!E13:E24)</f>
        <v>37.275145170465059</v>
      </c>
      <c r="N7" s="181">
        <f t="shared" si="1"/>
        <v>40.982843197444893</v>
      </c>
      <c r="O7" s="181">
        <f t="shared" si="2"/>
        <v>265.16427481737674</v>
      </c>
      <c r="P7" s="477">
        <f>SUMIFS(Forecasts!$F$5:$F$34,Forecasts!$B$5:$B$34,$B$6,Forecasts!$E$5:$E$34,$C7,Forecasts!$C$5:$C$34,$D7)/1000</f>
        <v>67288.392500000002</v>
      </c>
      <c r="Q7" s="155">
        <f>P7-R7</f>
        <v>8884.9633048685719</v>
      </c>
      <c r="R7" s="155">
        <f t="shared" si="3"/>
        <v>58403.42919513143</v>
      </c>
      <c r="S7" s="154">
        <f t="shared" ref="S7:S15" si="4">N7*Q7</f>
        <v>364131.05793848046</v>
      </c>
      <c r="T7" s="154">
        <f t="shared" ref="T7:T15" si="5">O7*R7</f>
        <v>15486502.949375033</v>
      </c>
      <c r="U7" s="156">
        <f>Overview!G9</f>
        <v>0.84700000000000009</v>
      </c>
    </row>
    <row r="8" spans="1:21" x14ac:dyDescent="0.25">
      <c r="A8" s="120"/>
      <c r="B8" s="606"/>
      <c r="C8" s="149" t="s">
        <v>96</v>
      </c>
      <c r="D8" s="191" t="s">
        <v>70</v>
      </c>
      <c r="E8" s="165">
        <f>Distances!G7-E7</f>
        <v>25.432681215778231</v>
      </c>
      <c r="F8" s="165">
        <f>F7+Distances!G7</f>
        <v>316.67801187846715</v>
      </c>
      <c r="G8" s="165">
        <f t="shared" si="0"/>
        <v>316.67801187846715</v>
      </c>
      <c r="H8" s="165">
        <f>H7+Distances!G7</f>
        <v>427.59447</v>
      </c>
      <c r="I8" s="165">
        <f>I7+Distances!G7</f>
        <v>284</v>
      </c>
      <c r="J8" s="165">
        <f>J7+Distances!G7</f>
        <v>117.55547662113541</v>
      </c>
      <c r="K8" s="165">
        <f>K7+Distances!G7</f>
        <v>384.18434852817825</v>
      </c>
      <c r="L8" s="165">
        <f>M7+Distances!G7</f>
        <v>83.275145170465066</v>
      </c>
      <c r="M8" s="165">
        <f>L8</f>
        <v>83.275145170465066</v>
      </c>
      <c r="N8" s="181">
        <f t="shared" si="1"/>
        <v>86.982843197444907</v>
      </c>
      <c r="O8" s="181">
        <f t="shared" si="2"/>
        <v>304.56729313349791</v>
      </c>
      <c r="P8" s="477">
        <f>SUMIFS(Forecasts!$F$5:$F$34,Forecasts!$B$5:$B$34,$B$6,Forecasts!$E$5:$E$34,$C8,Forecasts!$C$5:$C$34,$D8)/1000</f>
        <v>0</v>
      </c>
      <c r="Q8" s="155">
        <f t="shared" ref="Q8:Q15" si="6">P8-R8</f>
        <v>0</v>
      </c>
      <c r="R8" s="155">
        <f t="shared" si="3"/>
        <v>0</v>
      </c>
      <c r="S8" s="154">
        <f t="shared" si="4"/>
        <v>0</v>
      </c>
      <c r="T8" s="154">
        <f t="shared" si="5"/>
        <v>0</v>
      </c>
      <c r="U8" s="156">
        <f>Overview!G12</f>
        <v>0.84700000000000009</v>
      </c>
    </row>
    <row r="9" spans="1:21" x14ac:dyDescent="0.25">
      <c r="A9" s="120"/>
      <c r="B9" s="606"/>
      <c r="C9" s="149" t="s">
        <v>73</v>
      </c>
      <c r="D9" s="191" t="s">
        <v>70</v>
      </c>
      <c r="E9" s="165">
        <f>E7+I7</f>
        <v>258.56731878422175</v>
      </c>
      <c r="F9" s="165">
        <f>F7+I7</f>
        <v>508.67801187846715</v>
      </c>
      <c r="G9" s="165">
        <f t="shared" si="0"/>
        <v>508.67801187846715</v>
      </c>
      <c r="H9" s="165">
        <f>I6</f>
        <v>198.21445</v>
      </c>
      <c r="I9" s="165">
        <v>0</v>
      </c>
      <c r="J9" s="165">
        <f>I7+J7</f>
        <v>309.55547662113543</v>
      </c>
      <c r="K9" s="165">
        <f>I7+K7-2*Distances!G23</f>
        <v>154.80432852817825</v>
      </c>
      <c r="L9" s="187">
        <f>SUMPRODUCT(Distances!$J$13:$J$24*Distances!$E$13:$E$24*(Distances!$C$13:$C$24=$L$5))/SUMIFS(Distances!$E$13:$E$24,Distances!$C$13:$C$24,$L$5)</f>
        <v>214.98403148352875</v>
      </c>
      <c r="M9" s="165">
        <f>L9</f>
        <v>214.98403148352875</v>
      </c>
      <c r="N9" s="181">
        <f t="shared" si="1"/>
        <v>214.24251821832451</v>
      </c>
      <c r="O9" s="181">
        <f t="shared" si="2"/>
        <v>288.30456035154947</v>
      </c>
      <c r="P9" s="477">
        <f>SUMIFS(Forecasts!$F$5:$F$34,Forecasts!$B$5:$B$34,$B$6,Forecasts!$E$5:$E$34,$C9,Forecasts!$C$5:$C$34,$D9)/1000</f>
        <v>0</v>
      </c>
      <c r="Q9" s="155">
        <f t="shared" si="6"/>
        <v>0</v>
      </c>
      <c r="R9" s="155">
        <f t="shared" si="3"/>
        <v>0</v>
      </c>
      <c r="S9" s="154">
        <f t="shared" si="4"/>
        <v>0</v>
      </c>
      <c r="T9" s="154">
        <f t="shared" si="5"/>
        <v>0</v>
      </c>
      <c r="U9" s="156">
        <f>Overview!G13</f>
        <v>1.1237380354023243</v>
      </c>
    </row>
    <row r="10" spans="1:21" x14ac:dyDescent="0.25">
      <c r="A10" s="120"/>
      <c r="B10" s="606"/>
      <c r="C10" s="149" t="s">
        <v>59</v>
      </c>
      <c r="D10" s="191" t="s">
        <v>70</v>
      </c>
      <c r="E10" s="165">
        <f>+E7+Distances!H6</f>
        <v>262.56731878422175</v>
      </c>
      <c r="F10" s="165">
        <f>F7-Distances!H6</f>
        <v>28.678011878467146</v>
      </c>
      <c r="G10" s="165">
        <f t="shared" si="0"/>
        <v>28.678011878467146</v>
      </c>
      <c r="H10" s="165">
        <f>+H7+Distances!H6</f>
        <v>623.59447</v>
      </c>
      <c r="I10" s="165">
        <f>+I7+Distances!H6</f>
        <v>480</v>
      </c>
      <c r="J10" s="165">
        <f>(Distances!H12*Distances!E12+Distances!H29*Distances!E29)/(Distances!E12+Distances!E29)</f>
        <v>212.1553239565886</v>
      </c>
      <c r="K10" s="165">
        <f>+K7+Distances!H6</f>
        <v>580.18434852817825</v>
      </c>
      <c r="L10" s="165">
        <f>SUMPRODUCT(Distances!H13:H24,Distances!E13:E24)/SUM(Distances!E13:E24)</f>
        <v>241.62139261349225</v>
      </c>
      <c r="M10" s="165">
        <f>SUMPRODUCT(Distances!H13:H24,Distances!E13:E24)/SUM(Distances!E13:E24)</f>
        <v>241.62139261349225</v>
      </c>
      <c r="N10" s="181">
        <f t="shared" si="1"/>
        <v>245.79304701836298</v>
      </c>
      <c r="O10" s="181">
        <f t="shared" si="2"/>
        <v>382.35227440982817</v>
      </c>
      <c r="P10" s="477">
        <f>SUMIFS(Forecasts!$F$5:$F$34,Forecasts!$B$5:$B$34,$B$6,Forecasts!$E$5:$E$34,$C10,Forecasts!$C$5:$C$34,$D10)/1000</f>
        <v>10319.273196481112</v>
      </c>
      <c r="Q10" s="155">
        <f t="shared" si="6"/>
        <v>1362.5881118151028</v>
      </c>
      <c r="R10" s="155">
        <f t="shared" si="3"/>
        <v>8956.6850846660091</v>
      </c>
      <c r="S10" s="154">
        <f t="shared" si="4"/>
        <v>334914.68383403198</v>
      </c>
      <c r="T10" s="154">
        <f t="shared" si="5"/>
        <v>3424608.9132946329</v>
      </c>
      <c r="U10" s="156">
        <f>Overview!G10</f>
        <v>1.1237380354023243</v>
      </c>
    </row>
    <row r="11" spans="1:21" x14ac:dyDescent="0.25">
      <c r="A11" s="120"/>
      <c r="B11" s="606"/>
      <c r="C11" s="149" t="s">
        <v>125</v>
      </c>
      <c r="D11" s="191" t="s">
        <v>70</v>
      </c>
      <c r="E11" s="165">
        <f>E13-Distances!$I$29</f>
        <v>354.56731878422175</v>
      </c>
      <c r="F11" s="165">
        <f>(Distances!I29*Distances!E11+Distances!H29*Distances!E9)/(Distances!E9+Distances!E11)</f>
        <v>65.133230977015003</v>
      </c>
      <c r="G11" s="165">
        <f t="shared" si="0"/>
        <v>65.133230977015003</v>
      </c>
      <c r="H11" s="165">
        <f>H13-Distances!$I$29</f>
        <v>715.59447</v>
      </c>
      <c r="I11" s="165">
        <f>I13-Distances!$I$29</f>
        <v>572</v>
      </c>
      <c r="J11" s="165">
        <f>(0*Distances!E29+Distances!E12*(Distances!I12+Distances!I29))/(Distances!E12+Distances!E29)</f>
        <v>270.34947890232434</v>
      </c>
      <c r="K11" s="165">
        <f>K13-Distances!$I$29</f>
        <v>672.18434852817825</v>
      </c>
      <c r="L11" s="165">
        <f>L13-Distances!$I$29</f>
        <v>333.62139261349228</v>
      </c>
      <c r="M11" s="165">
        <f>L11</f>
        <v>333.62139261349228</v>
      </c>
      <c r="N11" s="181">
        <f t="shared" si="1"/>
        <v>337.79304701836298</v>
      </c>
      <c r="O11" s="181">
        <f t="shared" si="2"/>
        <v>457.93994618554888</v>
      </c>
      <c r="P11" s="477">
        <f>SUMIFS(Forecasts!$F$5:$F$34,Forecasts!$B$5:$B$34,$B$6,Forecasts!$E$5:$E$34,$C11,Forecasts!$C$5:$C$34,$D11)/1000</f>
        <v>1765.8999999999999</v>
      </c>
      <c r="Q11" s="155">
        <f t="shared" si="6"/>
        <v>233.17478865418593</v>
      </c>
      <c r="R11" s="155">
        <f t="shared" si="3"/>
        <v>1532.7252113458139</v>
      </c>
      <c r="S11" s="154">
        <f t="shared" si="4"/>
        <v>78764.822347360285</v>
      </c>
      <c r="T11" s="154">
        <f t="shared" si="5"/>
        <v>701896.10080093611</v>
      </c>
      <c r="U11" s="156">
        <f>Overview!G30</f>
        <v>0</v>
      </c>
    </row>
    <row r="12" spans="1:21" x14ac:dyDescent="0.25">
      <c r="A12" s="120"/>
      <c r="B12" s="606"/>
      <c r="C12" s="149" t="s">
        <v>61</v>
      </c>
      <c r="D12" s="191" t="s">
        <v>70</v>
      </c>
      <c r="E12" s="165">
        <f>E7-(Distances!G12*Distances!E6+(Distances!G10-Distances!G12)*Distances!E10)/(Distances!E6+Distances!E10)</f>
        <v>18.567318784221769</v>
      </c>
      <c r="F12" s="165">
        <f>F7+Distances!G12</f>
        <v>272.67801187846715</v>
      </c>
      <c r="G12" s="165">
        <f t="shared" si="0"/>
        <v>272.67801187846715</v>
      </c>
      <c r="H12" s="165">
        <f>H7+Distances!G12</f>
        <v>383.59447</v>
      </c>
      <c r="I12" s="165">
        <f>I7+Distances!G12</f>
        <v>240</v>
      </c>
      <c r="J12" s="165">
        <f>(0*Distances!E12+(Distances!G29+Distances!G12)*Distances!E29)/(Distances!E29+Distances!E12)</f>
        <v>70.393494411751504</v>
      </c>
      <c r="K12" s="165">
        <f>K7+Distances!G12</f>
        <v>340.18434852817825</v>
      </c>
      <c r="L12" s="165">
        <f>M7+Distances!G12</f>
        <v>39.275145170465059</v>
      </c>
      <c r="M12" s="165">
        <f>L12</f>
        <v>39.275145170465059</v>
      </c>
      <c r="N12" s="181">
        <f t="shared" si="1"/>
        <v>42.982843197444893</v>
      </c>
      <c r="O12" s="181">
        <f t="shared" si="2"/>
        <v>266.22486567950097</v>
      </c>
      <c r="P12" s="477">
        <f>SUMIFS(Forecasts!$F$5:$F$34,Forecasts!$B$5:$B$34,$B$6,Forecasts!$E$5:$E$34,$C12,Forecasts!$C$5:$C$34,$D12)/1000</f>
        <v>6663.0379999999996</v>
      </c>
      <c r="Q12" s="155">
        <f t="shared" si="6"/>
        <v>879.80773398539623</v>
      </c>
      <c r="R12" s="155">
        <f t="shared" si="3"/>
        <v>5783.2302660146033</v>
      </c>
      <c r="S12" s="154">
        <f t="shared" si="4"/>
        <v>37816.637873793596</v>
      </c>
      <c r="T12" s="154">
        <f t="shared" si="5"/>
        <v>1539639.7007633625</v>
      </c>
      <c r="U12" s="156">
        <f>Overview!G31</f>
        <v>0</v>
      </c>
    </row>
    <row r="13" spans="1:21" s="126" customFormat="1" x14ac:dyDescent="0.25">
      <c r="A13" s="120"/>
      <c r="B13" s="606"/>
      <c r="C13" s="149" t="s">
        <v>60</v>
      </c>
      <c r="D13" s="191" t="s">
        <v>70</v>
      </c>
      <c r="E13" s="165">
        <f>E7+Distances!I6</f>
        <v>357.56731878422175</v>
      </c>
      <c r="F13" s="165">
        <f>Distances!I6-F7</f>
        <v>66.321988121532854</v>
      </c>
      <c r="G13" s="165">
        <f>+F13</f>
        <v>66.321988121532854</v>
      </c>
      <c r="H13" s="165">
        <f>Distances!I6+H7</f>
        <v>718.59447</v>
      </c>
      <c r="I13" s="165">
        <f>Distances!I6+I7</f>
        <v>575</v>
      </c>
      <c r="J13" s="165">
        <f>+J7+Distances!I6</f>
        <v>408.55547662113543</v>
      </c>
      <c r="K13" s="165">
        <f>+K7+Distances!I6</f>
        <v>675.18434852817825</v>
      </c>
      <c r="L13" s="165">
        <f>SUMPRODUCT(Distances!I13:I24,Distances!E13:E24)/SUM(Distances!E13:E24)</f>
        <v>336.62139261349228</v>
      </c>
      <c r="M13" s="165">
        <f>L13</f>
        <v>336.62139261349228</v>
      </c>
      <c r="N13" s="181">
        <f t="shared" si="1"/>
        <v>340.79304701836298</v>
      </c>
      <c r="O13" s="181">
        <f t="shared" si="2"/>
        <v>473.24712309594327</v>
      </c>
      <c r="P13" s="477">
        <f>SUMIFS(Forecasts!$F$5:$F$34,Forecasts!$B$5:$B$34,$B$6,Forecasts!$E$5:$E$34,$C13,Forecasts!$C$5:$C$34,$D13)/1000</f>
        <v>2311.8112280670944</v>
      </c>
      <c r="Q13" s="155">
        <f t="shared" si="6"/>
        <v>305.25856193041477</v>
      </c>
      <c r="R13" s="155">
        <f t="shared" si="3"/>
        <v>2006.5526661366796</v>
      </c>
      <c r="S13" s="154">
        <f t="shared" si="4"/>
        <v>104029.99544870971</v>
      </c>
      <c r="T13" s="154">
        <f t="shared" si="5"/>
        <v>949595.27658967837</v>
      </c>
      <c r="U13" s="156">
        <f>Overview!G11</f>
        <v>1.1237380354023243</v>
      </c>
    </row>
    <row r="14" spans="1:21" x14ac:dyDescent="0.25">
      <c r="A14" s="120"/>
      <c r="B14" s="606"/>
      <c r="C14" s="149" t="s">
        <v>60</v>
      </c>
      <c r="D14" s="192" t="s">
        <v>71</v>
      </c>
      <c r="E14" s="165">
        <f>E13</f>
        <v>357.56731878422175</v>
      </c>
      <c r="F14" s="165">
        <f t="shared" ref="F14:L14" si="7">F13</f>
        <v>66.321988121532854</v>
      </c>
      <c r="G14" s="165">
        <f t="shared" si="7"/>
        <v>66.321988121532854</v>
      </c>
      <c r="H14" s="165">
        <f t="shared" si="7"/>
        <v>718.59447</v>
      </c>
      <c r="I14" s="165">
        <f t="shared" si="7"/>
        <v>575</v>
      </c>
      <c r="J14" s="165">
        <f>J13</f>
        <v>408.55547662113543</v>
      </c>
      <c r="K14" s="165">
        <f t="shared" si="7"/>
        <v>675.18434852817825</v>
      </c>
      <c r="L14" s="165">
        <f t="shared" si="7"/>
        <v>336.62139261349228</v>
      </c>
      <c r="M14" s="165">
        <f>L14</f>
        <v>336.62139261349228</v>
      </c>
      <c r="N14" s="181">
        <f t="shared" si="1"/>
        <v>340.79304701836298</v>
      </c>
      <c r="O14" s="181">
        <f t="shared" si="2"/>
        <v>473.24712309594327</v>
      </c>
      <c r="P14" s="477">
        <f>SUMIFS(Forecasts!$F$5:$F$34,Forecasts!$B$5:$B$34,$B$6,Forecasts!$E$5:$E$34,$C14,Forecasts!$C$5:$C$34,$D14)/1000</f>
        <v>3357</v>
      </c>
      <c r="Q14" s="155">
        <f t="shared" si="6"/>
        <v>443.26845546865798</v>
      </c>
      <c r="R14" s="155">
        <f t="shared" si="3"/>
        <v>2913.731544531342</v>
      </c>
      <c r="S14" s="154">
        <f t="shared" si="4"/>
        <v>151062.8075862875</v>
      </c>
      <c r="T14" s="154">
        <f t="shared" si="5"/>
        <v>1378915.0709233568</v>
      </c>
      <c r="U14" s="156">
        <f>Overview!G23</f>
        <v>1.0113642318620919</v>
      </c>
    </row>
    <row r="15" spans="1:21" x14ac:dyDescent="0.25">
      <c r="A15" s="120"/>
      <c r="B15" s="606"/>
      <c r="C15" s="149" t="s">
        <v>75</v>
      </c>
      <c r="D15" s="191" t="s">
        <v>70</v>
      </c>
      <c r="E15" s="165">
        <f>E7</f>
        <v>20.567318784221769</v>
      </c>
      <c r="F15" s="165">
        <f>F7</f>
        <v>270.67801187846715</v>
      </c>
      <c r="G15" s="165">
        <f>F15</f>
        <v>270.67801187846715</v>
      </c>
      <c r="H15" s="165">
        <f>H7</f>
        <v>381.59447</v>
      </c>
      <c r="I15" s="187">
        <f>I7</f>
        <v>238</v>
      </c>
      <c r="J15" s="187">
        <f>J7</f>
        <v>71.555476621135412</v>
      </c>
      <c r="K15" s="187">
        <f>K7</f>
        <v>338.18434852817825</v>
      </c>
      <c r="L15" s="165">
        <v>0</v>
      </c>
      <c r="M15" s="165">
        <f>L15</f>
        <v>0</v>
      </c>
      <c r="N15" s="181">
        <f t="shared" si="1"/>
        <v>4.1669893369888049</v>
      </c>
      <c r="O15" s="181">
        <f t="shared" si="2"/>
        <v>265.16427481737674</v>
      </c>
      <c r="P15" s="477">
        <f>SUMIFS(Forecasts!$F$5:$F$34,Forecasts!$B$5:$B$34,$B$6,Forecasts!$E$5:$E$34,$C15,Forecasts!$C$5:$C$34,$D15)/1000</f>
        <v>10848</v>
      </c>
      <c r="Q15" s="155">
        <f t="shared" si="6"/>
        <v>1432.4028015859403</v>
      </c>
      <c r="R15" s="155">
        <f t="shared" si="3"/>
        <v>9415.5971984140597</v>
      </c>
      <c r="S15" s="154">
        <f t="shared" si="4"/>
        <v>5968.807200481504</v>
      </c>
      <c r="T15" s="154">
        <f t="shared" si="5"/>
        <v>2496680.0030899881</v>
      </c>
      <c r="U15" s="156">
        <f>Overview!G21</f>
        <v>0</v>
      </c>
    </row>
    <row r="16" spans="1:21" x14ac:dyDescent="0.25">
      <c r="A16" s="120"/>
      <c r="B16" s="120"/>
      <c r="C16" s="150" t="s">
        <v>370</v>
      </c>
      <c r="D16" s="150"/>
      <c r="E16" s="476">
        <f>SUMIFS(Forecasts!$F$5:$F$34,Forecasts!$D$5:$D$34,CAA!E$4,Forecasts!$C$5:$C$34,CAA!E$5)/1000</f>
        <v>14347.891061722174</v>
      </c>
      <c r="F16" s="476">
        <f>SUMIFS(Forecasts!$F$5:$F$34,Forecasts!$D$5:$D$34,CAA!F$4,Forecasts!$C$5:$C$34,CAA!F$5)/1000</f>
        <v>14873.46400429618</v>
      </c>
      <c r="G16" s="476">
        <f>SUMIFS(Forecasts!$F$5:$F$34,Forecasts!$D$5:$D$34,CAA!G$4,Forecasts!$C$5:$C$34,CAA!G$5)/1000</f>
        <v>6431.3720000000021</v>
      </c>
      <c r="H16" s="476">
        <f>SUMIFS(Forecasts!$F$5:$F$34,Forecasts!$D$5:$D$34,CAA!H$4,Forecasts!$C$5:$C$34,CAA!H$5)/1000</f>
        <v>43571.928999999996</v>
      </c>
      <c r="I16" s="476">
        <f>SUMIFS(Forecasts!$F$5:$F$34,Forecasts!$D$5:$D$34,CAA!I$4,Forecasts!$C$5:$C$34,CAA!I$5)/1000</f>
        <v>1810.84997476493</v>
      </c>
      <c r="J16" s="476">
        <f>SUMIFS(Forecasts!$F$5:$F$34,Forecasts!$D$5:$D$34,CAA!J$4,Forecasts!$C$5:$C$34,CAA!J$5)/1000</f>
        <v>8428.9380000000001</v>
      </c>
      <c r="K16" s="476">
        <f>SUMIFS(Forecasts!$F$5:$F$34,Forecasts!$D$5:$D$34,CAA!K$4,Forecasts!$C$5:$C$34,CAA!K$5)/1000</f>
        <v>391.65300000000002</v>
      </c>
      <c r="L16" s="476">
        <f>SUMIFS(Forecasts!$F$5:$F$34,Forecasts!$D$5:$D$34,CAA!L$4,Forecasts!$C$5:$C$34,CAA!L$5)/1000</f>
        <v>24379.812999999998</v>
      </c>
      <c r="M16" s="476">
        <f>SUMIFS(Forecasts!$F$5:$F$34,Forecasts!$D$5:$D$34,CAA!M$4,Forecasts!$C$5:$C$34,CAA!M$5)/1000</f>
        <v>7014.2920000000004</v>
      </c>
      <c r="N16" s="120"/>
      <c r="O16" s="141"/>
      <c r="Q16" s="160"/>
      <c r="R16" s="160"/>
      <c r="S16" s="160"/>
      <c r="T16" s="141"/>
    </row>
    <row r="17" spans="1:23" x14ac:dyDescent="0.25">
      <c r="A17" s="120"/>
      <c r="B17" s="120"/>
      <c r="C17" s="150" t="s">
        <v>182</v>
      </c>
      <c r="D17" s="150"/>
      <c r="E17" s="138">
        <f t="shared" ref="E17:M17" si="8">(SUMPRODUCT(E6:E15,$P6:$P15))/SUMPRODUCT($P6:$P15)</f>
        <v>70.851944776321474</v>
      </c>
      <c r="F17" s="138">
        <f t="shared" si="8"/>
        <v>233.7491965090309</v>
      </c>
      <c r="G17" s="138">
        <f t="shared" si="8"/>
        <v>233.7491965090309</v>
      </c>
      <c r="H17" s="138">
        <f t="shared" si="8"/>
        <v>428.27761341797941</v>
      </c>
      <c r="I17" s="138">
        <f t="shared" si="8"/>
        <v>286.41194308150671</v>
      </c>
      <c r="J17" s="138">
        <f t="shared" si="8"/>
        <v>109.42627230959224</v>
      </c>
      <c r="K17" s="138">
        <f t="shared" si="8"/>
        <v>385.30661099193418</v>
      </c>
      <c r="L17" s="138">
        <f t="shared" si="8"/>
        <v>77.226502383086753</v>
      </c>
      <c r="M17" s="138">
        <f t="shared" si="8"/>
        <v>77.226502383086753</v>
      </c>
      <c r="N17" s="120"/>
      <c r="O17" s="184"/>
      <c r="P17" s="160"/>
      <c r="Q17" s="160"/>
      <c r="R17" s="160"/>
      <c r="S17" s="120"/>
      <c r="T17" s="120"/>
      <c r="U17" s="129"/>
    </row>
    <row r="18" spans="1:23" x14ac:dyDescent="0.25">
      <c r="A18" s="120"/>
      <c r="B18" s="120"/>
      <c r="C18" s="611" t="s">
        <v>202</v>
      </c>
      <c r="D18" s="612"/>
      <c r="E18" s="138">
        <f>E17*E16</f>
        <v>1016575.9851618159</v>
      </c>
      <c r="F18" s="138">
        <f t="shared" ref="F18:M18" si="9">F17*F16</f>
        <v>3476660.2603102252</v>
      </c>
      <c r="G18" s="138">
        <f t="shared" si="9"/>
        <v>1503328.0374506796</v>
      </c>
      <c r="H18" s="138">
        <f t="shared" si="9"/>
        <v>18660881.764137644</v>
      </c>
      <c r="I18" s="138">
        <f t="shared" si="9"/>
        <v>518649.05990152102</v>
      </c>
      <c r="J18" s="138">
        <f t="shared" si="9"/>
        <v>922347.26486866979</v>
      </c>
      <c r="K18" s="138">
        <f t="shared" si="9"/>
        <v>150906.490114824</v>
      </c>
      <c r="L18" s="138">
        <f t="shared" si="9"/>
        <v>1882767.6867437093</v>
      </c>
      <c r="M18" s="138">
        <f t="shared" si="9"/>
        <v>541689.23785366642</v>
      </c>
      <c r="N18" s="120"/>
      <c r="O18" s="120"/>
      <c r="P18" s="120"/>
      <c r="Q18" s="130"/>
      <c r="R18" s="130"/>
      <c r="S18" s="120"/>
      <c r="T18" s="120"/>
      <c r="U18" s="130"/>
    </row>
    <row r="19" spans="1:23" x14ac:dyDescent="0.25">
      <c r="A19" s="120"/>
      <c r="B19" s="120"/>
      <c r="C19" s="150" t="s">
        <v>201</v>
      </c>
      <c r="D19" s="151"/>
      <c r="E19" s="156">
        <f>Overview!G15</f>
        <v>1.2320000000000002</v>
      </c>
      <c r="F19" s="156">
        <f>Overview!G16</f>
        <v>3.4858131401402588</v>
      </c>
      <c r="G19" s="156">
        <f>Overview!G26</f>
        <v>3.1372318261262331</v>
      </c>
      <c r="H19" s="156">
        <f>Overview!G48</f>
        <v>4.8879944380763094</v>
      </c>
      <c r="I19" s="156">
        <f>Overview!G17</f>
        <v>1.8999957199999997</v>
      </c>
      <c r="J19" s="156">
        <f>Overview!G29</f>
        <v>0.42820626615681318</v>
      </c>
      <c r="K19" s="156">
        <f>Overview!G50</f>
        <v>4.3319370289883787</v>
      </c>
      <c r="L19" s="156">
        <f>Overview!G20</f>
        <v>0.46889659827290503</v>
      </c>
      <c r="M19" s="156">
        <f>Overview!G24</f>
        <v>0.42200693844561454</v>
      </c>
      <c r="N19" s="120"/>
      <c r="O19" s="120"/>
      <c r="P19" s="120"/>
      <c r="Q19" s="159"/>
      <c r="R19" s="120"/>
      <c r="S19" s="120"/>
      <c r="T19" s="120"/>
      <c r="U19" s="120"/>
    </row>
    <row r="20" spans="1:23" x14ac:dyDescent="0.25">
      <c r="A20" s="120"/>
      <c r="B20" s="120"/>
      <c r="C20" s="142"/>
      <c r="D20" s="142"/>
      <c r="E20" s="142"/>
      <c r="F20" s="120"/>
      <c r="G20" s="120"/>
      <c r="H20" s="120"/>
      <c r="I20" s="132"/>
      <c r="J20" s="475"/>
      <c r="K20" s="132"/>
      <c r="L20" s="132"/>
      <c r="M20" s="132"/>
      <c r="N20" s="132"/>
      <c r="O20" s="120"/>
      <c r="P20" s="120"/>
      <c r="Q20" s="120"/>
      <c r="R20" s="120"/>
      <c r="S20" s="120"/>
      <c r="T20" s="120"/>
      <c r="U20" s="120"/>
      <c r="V20" s="128"/>
    </row>
    <row r="21" spans="1:23" ht="60.95" customHeight="1" x14ac:dyDescent="0.25">
      <c r="A21" s="120"/>
      <c r="B21" s="120"/>
      <c r="C21" s="143"/>
      <c r="D21" s="186"/>
      <c r="E21" s="144" t="s">
        <v>366</v>
      </c>
      <c r="F21" s="145">
        <f>SUMPRODUCT(U6:U15,Q6:Q15)</f>
        <v>9895.0401262659525</v>
      </c>
      <c r="G21" s="125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63"/>
      <c r="S21" s="164"/>
      <c r="T21" s="120"/>
      <c r="U21" s="120"/>
      <c r="V21" s="128"/>
    </row>
    <row r="22" spans="1:23" x14ac:dyDescent="0.25">
      <c r="A22" s="120"/>
      <c r="B22" s="120"/>
      <c r="C22" s="143"/>
      <c r="D22" s="186"/>
      <c r="E22" s="144" t="s">
        <v>367</v>
      </c>
      <c r="F22" s="147">
        <f>SUMPRODUCT(U6:U15,R6:R15)</f>
        <v>65042.955785837796</v>
      </c>
      <c r="G22" s="125"/>
      <c r="H22" s="132"/>
      <c r="I22" s="120"/>
      <c r="J22" s="141"/>
      <c r="K22" s="120"/>
      <c r="L22" s="120"/>
      <c r="M22" s="120"/>
      <c r="N22" s="120"/>
      <c r="O22" s="131"/>
      <c r="P22" s="131"/>
      <c r="Q22" s="158"/>
      <c r="R22" s="163"/>
      <c r="S22" s="120"/>
      <c r="T22" s="158"/>
      <c r="U22" s="158"/>
      <c r="V22" s="128"/>
    </row>
    <row r="23" spans="1:23" x14ac:dyDescent="0.25">
      <c r="A23" s="120"/>
      <c r="B23" s="120"/>
      <c r="C23" s="143"/>
      <c r="D23" s="186"/>
      <c r="E23" s="144" t="s">
        <v>368</v>
      </c>
      <c r="F23" s="145">
        <f>SUMPRODUCT(E16:M16*E19:M19*(E3:M3="Intra"))</f>
        <v>16088.307407727498</v>
      </c>
      <c r="G23" s="132"/>
      <c r="I23" s="120"/>
      <c r="J23" s="120"/>
      <c r="K23" s="120"/>
      <c r="L23" s="120"/>
      <c r="M23" s="120"/>
      <c r="N23" s="120"/>
      <c r="O23" s="120"/>
      <c r="P23" s="120"/>
      <c r="Q23" s="158"/>
      <c r="R23" s="120"/>
      <c r="S23" s="120"/>
      <c r="T23" s="158"/>
      <c r="U23" s="161"/>
      <c r="V23" s="128"/>
    </row>
    <row r="24" spans="1:23" x14ac:dyDescent="0.25">
      <c r="A24" s="120"/>
      <c r="B24" s="120"/>
      <c r="C24" s="194"/>
      <c r="D24" s="195"/>
      <c r="E24" s="196" t="s">
        <v>369</v>
      </c>
      <c r="F24" s="145">
        <f>SUMPRODUCT(E16:M16*E19:M19*(E3:M3="Cross"))</f>
        <v>309728.70085619623</v>
      </c>
      <c r="G24" s="132"/>
      <c r="H24" s="132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8"/>
    </row>
    <row r="25" spans="1:23" x14ac:dyDescent="0.25">
      <c r="A25" s="120"/>
      <c r="B25" s="120"/>
      <c r="C25" s="200"/>
      <c r="D25" s="201"/>
      <c r="E25" s="202" t="s">
        <v>164</v>
      </c>
      <c r="F25" s="197">
        <f>F21+F23</f>
        <v>25983.347533993452</v>
      </c>
      <c r="G25" s="376"/>
      <c r="H25" s="120"/>
      <c r="I25" s="132"/>
      <c r="J25" s="120"/>
      <c r="K25" s="120"/>
      <c r="L25" s="120"/>
      <c r="M25" s="120"/>
      <c r="N25" s="120"/>
      <c r="O25" s="120"/>
      <c r="P25" s="120"/>
      <c r="R25" s="120"/>
      <c r="S25" s="120"/>
      <c r="T25" s="120"/>
      <c r="U25" s="120"/>
      <c r="V25" s="128"/>
    </row>
    <row r="26" spans="1:23" x14ac:dyDescent="0.25">
      <c r="A26" s="120"/>
      <c r="B26" s="120"/>
      <c r="C26" s="198"/>
      <c r="D26" s="199"/>
      <c r="E26" s="153" t="s">
        <v>165</v>
      </c>
      <c r="F26" s="146">
        <f>F22+F24</f>
        <v>374771.65664203401</v>
      </c>
      <c r="G26" s="376"/>
      <c r="H26" s="120"/>
      <c r="I26" s="284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8"/>
      <c r="W26" s="128"/>
    </row>
    <row r="27" spans="1:23" x14ac:dyDescent="0.25">
      <c r="A27" s="120"/>
      <c r="B27" s="120"/>
      <c r="C27" s="141"/>
      <c r="D27" s="141"/>
      <c r="E27" s="141"/>
      <c r="F27" s="133"/>
      <c r="G27" s="133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8"/>
      <c r="W27" s="128"/>
    </row>
    <row r="28" spans="1:23" x14ac:dyDescent="0.25">
      <c r="A28" s="120"/>
      <c r="B28" s="120"/>
      <c r="C28" s="194"/>
      <c r="D28" s="195"/>
      <c r="E28" s="196" t="s">
        <v>166</v>
      </c>
      <c r="F28" s="193">
        <f>SUM(S6:S15)</f>
        <v>1102741.4710272655</v>
      </c>
      <c r="G28" s="133"/>
      <c r="H28" s="120"/>
      <c r="I28" s="120"/>
      <c r="J28" s="120"/>
      <c r="K28" s="135"/>
      <c r="L28" s="139" t="s">
        <v>176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8"/>
    </row>
    <row r="29" spans="1:23" ht="15" customHeight="1" x14ac:dyDescent="0.25">
      <c r="A29" s="120"/>
      <c r="B29" s="131"/>
      <c r="C29" s="143"/>
      <c r="D29" s="186"/>
      <c r="E29" s="144" t="s">
        <v>167</v>
      </c>
      <c r="F29" s="203">
        <f>SUM(K18:M18)</f>
        <v>2575363.4147121995</v>
      </c>
      <c r="G29" s="133"/>
      <c r="H29" s="120"/>
      <c r="I29" s="120"/>
      <c r="J29" s="120"/>
      <c r="K29" s="148" t="s">
        <v>169</v>
      </c>
      <c r="L29" s="460">
        <f>F25/F30*1000</f>
        <v>7.064330230150472</v>
      </c>
      <c r="M29" s="119" t="s">
        <v>184</v>
      </c>
      <c r="N29" s="120"/>
      <c r="O29" s="120"/>
      <c r="P29" s="120"/>
      <c r="Q29" s="120"/>
      <c r="R29" s="120"/>
      <c r="S29" s="120"/>
      <c r="T29" s="120"/>
      <c r="U29" s="120"/>
      <c r="V29" s="128"/>
    </row>
    <row r="30" spans="1:23" x14ac:dyDescent="0.25">
      <c r="A30" s="120"/>
      <c r="B30" s="131"/>
      <c r="C30" s="609" t="s">
        <v>168</v>
      </c>
      <c r="D30" s="609"/>
      <c r="E30" s="609"/>
      <c r="F30" s="146">
        <f>F28+F29</f>
        <v>3678104.8857394652</v>
      </c>
      <c r="G30" s="133"/>
      <c r="H30" s="120"/>
      <c r="I30" s="120"/>
      <c r="J30" s="120"/>
      <c r="K30" s="148" t="s">
        <v>171</v>
      </c>
      <c r="L30" s="460">
        <f>F26/F33*1000</f>
        <v>7.1799621468318957</v>
      </c>
      <c r="M30" s="119" t="s">
        <v>184</v>
      </c>
      <c r="N30" s="120"/>
      <c r="O30" s="120"/>
      <c r="P30" s="120"/>
      <c r="Q30" s="120"/>
      <c r="R30" s="120"/>
      <c r="S30" s="120"/>
      <c r="T30" s="120"/>
      <c r="U30" s="120"/>
      <c r="V30" s="128"/>
    </row>
    <row r="31" spans="1:23" x14ac:dyDescent="0.25">
      <c r="A31" s="120"/>
      <c r="B31" s="131"/>
      <c r="C31" s="610" t="s">
        <v>170</v>
      </c>
      <c r="D31" s="610"/>
      <c r="E31" s="610"/>
      <c r="F31" s="147">
        <f>SUM(T6:T15)</f>
        <v>26098442.371830557</v>
      </c>
      <c r="G31" s="133"/>
      <c r="H31" s="120"/>
      <c r="I31" s="120"/>
      <c r="J31" s="120"/>
      <c r="K31" s="148" t="s">
        <v>185</v>
      </c>
      <c r="L31" s="136">
        <f>2*(ABS(L29-L30))/(L29+L30)</f>
        <v>1.62355438404614E-2</v>
      </c>
      <c r="M31" s="120"/>
      <c r="N31" s="120"/>
      <c r="O31" s="120"/>
      <c r="P31" s="120"/>
      <c r="Q31" s="120"/>
      <c r="R31" s="120"/>
      <c r="S31" s="120"/>
      <c r="T31" s="120"/>
      <c r="U31" s="120"/>
      <c r="V31" s="128"/>
    </row>
    <row r="32" spans="1:23" x14ac:dyDescent="0.25">
      <c r="A32" s="120"/>
      <c r="B32" s="131"/>
      <c r="C32" s="610" t="s">
        <v>172</v>
      </c>
      <c r="D32" s="610"/>
      <c r="E32" s="610"/>
      <c r="F32" s="147">
        <f>SUM(E18:J18)</f>
        <v>26098442.371830553</v>
      </c>
      <c r="G32" s="133"/>
      <c r="H32" s="120"/>
      <c r="I32" s="123"/>
      <c r="J32" s="123"/>
      <c r="K32" s="607" t="str">
        <f>IF(L31&lt;0.1,"justification not required","justification required!")</f>
        <v>justification not required</v>
      </c>
      <c r="L32" s="608"/>
      <c r="M32" s="120"/>
      <c r="N32" s="120"/>
      <c r="O32" s="120"/>
      <c r="P32" s="120"/>
      <c r="Q32" s="120"/>
      <c r="R32" s="120"/>
      <c r="S32" s="120"/>
      <c r="T32" s="120"/>
      <c r="U32" s="120"/>
      <c r="V32" s="128"/>
    </row>
    <row r="33" spans="1:22" x14ac:dyDescent="0.25">
      <c r="A33" s="120"/>
      <c r="B33" s="131"/>
      <c r="C33" s="604" t="s">
        <v>173</v>
      </c>
      <c r="D33" s="604"/>
      <c r="E33" s="604"/>
      <c r="F33" s="146">
        <f>F31+F32</f>
        <v>52196884.743661106</v>
      </c>
      <c r="G33" s="133"/>
      <c r="H33" s="120"/>
      <c r="I33" s="123"/>
      <c r="J33" s="123"/>
      <c r="K33" s="123"/>
      <c r="L33" s="123"/>
      <c r="M33" s="120"/>
      <c r="N33" s="120"/>
      <c r="O33" s="120"/>
      <c r="Q33" s="120"/>
      <c r="R33" s="120"/>
      <c r="S33" s="120"/>
      <c r="T33" s="120"/>
      <c r="U33" s="120"/>
      <c r="V33" s="128"/>
    </row>
    <row r="34" spans="1:22" x14ac:dyDescent="0.25">
      <c r="A34" s="120"/>
      <c r="B34" s="131"/>
      <c r="C34" s="120"/>
      <c r="D34" s="120"/>
      <c r="E34" s="120"/>
      <c r="F34" s="120"/>
      <c r="G34" s="120"/>
      <c r="H34" s="133"/>
      <c r="I34" s="123"/>
      <c r="J34" s="123"/>
      <c r="K34" s="124"/>
      <c r="L34" s="124"/>
      <c r="M34" s="120"/>
      <c r="N34" s="120"/>
      <c r="O34" s="120"/>
      <c r="P34" s="120"/>
      <c r="Q34" s="120"/>
      <c r="R34" s="120"/>
      <c r="S34" s="120"/>
      <c r="T34" s="120"/>
      <c r="U34" s="120"/>
      <c r="V34" s="128"/>
    </row>
    <row r="35" spans="1:22" x14ac:dyDescent="0.2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0"/>
      <c r="N35" s="120"/>
      <c r="O35" s="120"/>
      <c r="P35" s="120"/>
      <c r="Q35" s="120"/>
      <c r="R35" s="120"/>
      <c r="S35" s="120"/>
      <c r="T35" s="120"/>
      <c r="U35" s="120"/>
      <c r="V35" s="128"/>
    </row>
    <row r="36" spans="1:22" x14ac:dyDescent="0.2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34"/>
      <c r="R36" s="134"/>
      <c r="S36" s="134"/>
      <c r="T36" s="123"/>
      <c r="U36" s="123"/>
      <c r="V36" s="128"/>
    </row>
    <row r="37" spans="1:22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0"/>
      <c r="L37" s="120"/>
      <c r="M37" s="123"/>
      <c r="N37" s="123"/>
      <c r="O37" s="123"/>
      <c r="P37" s="123"/>
      <c r="Q37" s="123"/>
      <c r="R37" s="123"/>
      <c r="S37" s="123"/>
      <c r="T37" s="123"/>
      <c r="U37" s="123"/>
      <c r="V37" s="128"/>
    </row>
    <row r="38" spans="1:22" x14ac:dyDescent="0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0"/>
      <c r="L38" s="120"/>
      <c r="M38" s="124"/>
      <c r="N38" s="124"/>
      <c r="O38" s="124"/>
      <c r="P38" s="124"/>
      <c r="Q38" s="124"/>
      <c r="R38" s="124"/>
      <c r="S38" s="124"/>
      <c r="T38" s="124"/>
      <c r="U38" s="124"/>
      <c r="V38" s="128"/>
    </row>
    <row r="39" spans="1:22" x14ac:dyDescent="0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0"/>
      <c r="L39" s="120"/>
      <c r="M39" s="123"/>
      <c r="N39" s="123"/>
      <c r="O39" s="123"/>
      <c r="P39" s="123"/>
      <c r="Q39" s="123"/>
      <c r="R39" s="123"/>
      <c r="S39" s="123"/>
      <c r="T39" s="123"/>
      <c r="U39" s="123"/>
      <c r="V39" s="128"/>
    </row>
    <row r="40" spans="1:22" x14ac:dyDescent="0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0"/>
      <c r="L40" s="120"/>
      <c r="M40" s="123"/>
      <c r="N40" s="123"/>
      <c r="O40" s="123"/>
      <c r="P40" s="123"/>
      <c r="Q40" s="123"/>
      <c r="R40" s="123"/>
      <c r="S40" s="123"/>
      <c r="T40" s="123"/>
      <c r="U40" s="123"/>
      <c r="V40" s="128"/>
    </row>
    <row r="41" spans="1:22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8"/>
    </row>
  </sheetData>
  <mergeCells count="9">
    <mergeCell ref="C4:D5"/>
    <mergeCell ref="E2:M2"/>
    <mergeCell ref="C33:E33"/>
    <mergeCell ref="B6:B15"/>
    <mergeCell ref="K32:L32"/>
    <mergeCell ref="C30:E30"/>
    <mergeCell ref="C31:E31"/>
    <mergeCell ref="C32:E32"/>
    <mergeCell ref="C18:D18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>
    <tabColor theme="3" tint="0.39997558519241921"/>
  </sheetPr>
  <dimension ref="A1:W41"/>
  <sheetViews>
    <sheetView zoomScale="85" zoomScaleNormal="85" workbookViewId="0">
      <selection activeCell="G21" sqref="G21"/>
    </sheetView>
  </sheetViews>
  <sheetFormatPr baseColWidth="10" defaultColWidth="11.42578125" defaultRowHeight="15" x14ac:dyDescent="0.25"/>
  <cols>
    <col min="1" max="1" width="2" style="121" customWidth="1"/>
    <col min="2" max="2" width="3" style="121" bestFit="1" customWidth="1"/>
    <col min="3" max="3" width="18.5703125" style="121" customWidth="1"/>
    <col min="4" max="4" width="13" style="121" customWidth="1"/>
    <col min="5" max="14" width="13.140625" style="121" customWidth="1"/>
    <col min="15" max="15" width="15.5703125" style="121" customWidth="1"/>
    <col min="16" max="16" width="12.140625" style="121" customWidth="1"/>
    <col min="17" max="17" width="11.5703125" style="121" customWidth="1"/>
    <col min="18" max="18" width="10.85546875" style="121" customWidth="1"/>
    <col min="19" max="19" width="11.85546875" style="121" customWidth="1"/>
    <col min="20" max="20" width="13.140625" style="121" customWidth="1"/>
    <col min="21" max="21" width="15.5703125" style="121" customWidth="1"/>
    <col min="22" max="16384" width="11.42578125" style="121"/>
  </cols>
  <sheetData>
    <row r="1" spans="1:2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x14ac:dyDescent="0.25">
      <c r="A2" s="120"/>
      <c r="B2" s="120"/>
      <c r="C2" s="122"/>
      <c r="D2" s="122"/>
      <c r="E2" s="601" t="s">
        <v>69</v>
      </c>
      <c r="F2" s="602"/>
      <c r="G2" s="602"/>
      <c r="H2" s="602"/>
      <c r="I2" s="602"/>
      <c r="J2" s="602"/>
      <c r="K2" s="602"/>
      <c r="L2" s="602"/>
      <c r="M2" s="603"/>
      <c r="N2" s="292"/>
      <c r="O2" s="120"/>
      <c r="P2" s="120"/>
      <c r="Q2" s="120"/>
      <c r="R2" s="120"/>
      <c r="S2" s="120"/>
      <c r="T2" s="120"/>
      <c r="U2" s="120"/>
    </row>
    <row r="3" spans="1:21" x14ac:dyDescent="0.25">
      <c r="A3" s="120"/>
      <c r="B3" s="285">
        <v>1</v>
      </c>
      <c r="C3" s="183" t="s">
        <v>199</v>
      </c>
      <c r="D3" s="183"/>
      <c r="E3" s="185" t="s">
        <v>197</v>
      </c>
      <c r="F3" s="185" t="s">
        <v>197</v>
      </c>
      <c r="G3" s="185" t="s">
        <v>197</v>
      </c>
      <c r="H3" s="185" t="s">
        <v>197</v>
      </c>
      <c r="I3" s="185" t="s">
        <v>197</v>
      </c>
      <c r="J3" s="185" t="s">
        <v>197</v>
      </c>
      <c r="K3" s="185" t="s">
        <v>198</v>
      </c>
      <c r="L3" s="185" t="s">
        <v>198</v>
      </c>
      <c r="M3" s="185" t="s">
        <v>198</v>
      </c>
      <c r="N3" s="157" t="s">
        <v>88</v>
      </c>
      <c r="O3" s="157" t="s">
        <v>88</v>
      </c>
      <c r="P3" s="157" t="s">
        <v>174</v>
      </c>
      <c r="Q3" s="157" t="s">
        <v>174</v>
      </c>
      <c r="R3" s="157" t="s">
        <v>174</v>
      </c>
      <c r="S3" s="157" t="s">
        <v>175</v>
      </c>
      <c r="T3" s="157" t="s">
        <v>175</v>
      </c>
      <c r="U3" s="157" t="s">
        <v>131</v>
      </c>
    </row>
    <row r="4" spans="1:21" ht="75" x14ac:dyDescent="0.25">
      <c r="A4" s="120"/>
      <c r="B4" s="127"/>
      <c r="C4" s="597"/>
      <c r="D4" s="598"/>
      <c r="E4" s="152" t="s">
        <v>77</v>
      </c>
      <c r="F4" s="152" t="s">
        <v>78</v>
      </c>
      <c r="G4" s="152" t="s">
        <v>78</v>
      </c>
      <c r="H4" s="152" t="s">
        <v>83</v>
      </c>
      <c r="I4" s="152" t="s">
        <v>79</v>
      </c>
      <c r="J4" s="152" t="s">
        <v>82</v>
      </c>
      <c r="K4" s="152" t="s">
        <v>84</v>
      </c>
      <c r="L4" s="152" t="s">
        <v>80</v>
      </c>
      <c r="M4" s="152" t="s">
        <v>80</v>
      </c>
      <c r="N4" s="137" t="s">
        <v>181</v>
      </c>
      <c r="O4" s="137" t="s">
        <v>183</v>
      </c>
      <c r="P4" s="137" t="s">
        <v>415</v>
      </c>
      <c r="Q4" s="137" t="s">
        <v>179</v>
      </c>
      <c r="R4" s="137" t="s">
        <v>180</v>
      </c>
      <c r="S4" s="137" t="s">
        <v>162</v>
      </c>
      <c r="T4" s="137" t="s">
        <v>163</v>
      </c>
      <c r="U4" s="137" t="s">
        <v>178</v>
      </c>
    </row>
    <row r="5" spans="1:21" x14ac:dyDescent="0.25">
      <c r="A5" s="120"/>
      <c r="B5" s="127"/>
      <c r="C5" s="599"/>
      <c r="D5" s="600"/>
      <c r="E5" s="189" t="s">
        <v>70</v>
      </c>
      <c r="F5" s="189" t="s">
        <v>70</v>
      </c>
      <c r="G5" s="190" t="s">
        <v>71</v>
      </c>
      <c r="H5" s="189" t="s">
        <v>70</v>
      </c>
      <c r="I5" s="189" t="s">
        <v>70</v>
      </c>
      <c r="J5" s="189" t="s">
        <v>70</v>
      </c>
      <c r="K5" s="189" t="s">
        <v>70</v>
      </c>
      <c r="L5" s="189" t="s">
        <v>70</v>
      </c>
      <c r="M5" s="190" t="s">
        <v>71</v>
      </c>
      <c r="N5" s="137"/>
      <c r="O5" s="137"/>
      <c r="P5" s="137"/>
      <c r="Q5" s="137"/>
      <c r="R5" s="137"/>
      <c r="S5" s="182"/>
      <c r="T5" s="137"/>
      <c r="U5" s="137"/>
    </row>
    <row r="6" spans="1:21" ht="14.45" customHeight="1" x14ac:dyDescent="0.25">
      <c r="A6" s="120"/>
      <c r="B6" s="605" t="s">
        <v>57</v>
      </c>
      <c r="C6" s="149" t="s">
        <v>56</v>
      </c>
      <c r="D6" s="192" t="s">
        <v>71</v>
      </c>
      <c r="E6" s="165">
        <f>'CWD Weights'!D5</f>
        <v>402.16178878422176</v>
      </c>
      <c r="F6" s="165">
        <f>'CWD Weights'!E5</f>
        <v>652.27248187846715</v>
      </c>
      <c r="G6" s="165">
        <f t="shared" ref="G6:G12" si="0">F6</f>
        <v>652.27248187846715</v>
      </c>
      <c r="H6" s="165">
        <v>0</v>
      </c>
      <c r="I6" s="165">
        <f>'Reference VO 2017'!L18+'Reference VO 2017'!L5-2*'Reference VO 2017'!L34</f>
        <v>198.21445</v>
      </c>
      <c r="J6" s="165">
        <f>'CWD Weights'!H5</f>
        <v>453.14994662113543</v>
      </c>
      <c r="K6" s="165">
        <f>'CWD Weights'!I5</f>
        <v>43.410121471821753</v>
      </c>
      <c r="L6" s="165">
        <f>'CWD Weights'!J5</f>
        <v>382.64254487678903</v>
      </c>
      <c r="M6" s="165">
        <f>L6</f>
        <v>382.64254487678903</v>
      </c>
      <c r="N6" s="181">
        <f t="shared" ref="N6:N15" si="1">(SUMPRODUCT($E6:$M6*$E$16:$M$16*($E$3:$M$3="Intra")))/((SUMPRODUCT($E$16:$M$16*($E$3:$M$3="Intra"))))</f>
        <v>378.46264152750206</v>
      </c>
      <c r="O6" s="181">
        <f t="shared" ref="O6:O15" si="2">(SUMPRODUCT($E6:$M6*$E$16:$M$16*($E$3:$M$3="Cross")))/((SUMPRODUCT($E$16:$M$16*($E$3:$M$3="Cross"))))</f>
        <v>266.53316279350759</v>
      </c>
      <c r="P6" s="477">
        <f>SUMIFS(Forecasts!$F$5:$F$34,Forecasts!$B$5:$B$34,$B$6,Forecasts!$E$5:$E$34,$C6,Forecasts!$C$5:$C$34,$D6)/1000</f>
        <v>521.33100000000002</v>
      </c>
      <c r="Q6" s="155">
        <f>P6-R6</f>
        <v>68.838125456637158</v>
      </c>
      <c r="R6" s="155">
        <f t="shared" ref="R6:R15" si="3">P6/SUM($P$6:$P$15)*SUMIF($E$3:$M$3,"Cross",$E$16:$M$16)</f>
        <v>452.49287454336286</v>
      </c>
      <c r="S6" s="154">
        <f>Q6*N6</f>
        <v>26052.658798120483</v>
      </c>
      <c r="T6" s="155">
        <f>R6*O6</f>
        <v>120604.35699356833</v>
      </c>
      <c r="U6" s="156">
        <f>Overview!K51</f>
        <v>2.0576508286011714</v>
      </c>
    </row>
    <row r="7" spans="1:21" x14ac:dyDescent="0.25">
      <c r="A7" s="120"/>
      <c r="B7" s="606"/>
      <c r="C7" s="149" t="s">
        <v>58</v>
      </c>
      <c r="D7" s="191" t="s">
        <v>70</v>
      </c>
      <c r="E7" s="165">
        <f>(Distances!E6*0+Distances!E10*Distances!H10+Distances!E7*Distances!G7)/(Distances!E6+Distances!E10+Distances!E7)</f>
        <v>20.567318784221769</v>
      </c>
      <c r="F7" s="165">
        <f>(Distances!G9*Distances!E9+Distances!G11*Distances!E11)/(Distances!E9+Distances!E11)</f>
        <v>270.67801187846715</v>
      </c>
      <c r="G7" s="165">
        <f t="shared" si="0"/>
        <v>270.67801187846715</v>
      </c>
      <c r="H7" s="165">
        <f>Distances!G5</f>
        <v>381.59447</v>
      </c>
      <c r="I7" s="165">
        <f>Distances!G8</f>
        <v>238</v>
      </c>
      <c r="J7" s="165">
        <f>(Distances!G29*Distances!E29+Distances!G12*Distances!E12)/(Distances!E29+Distances!E12)</f>
        <v>71.555476621135412</v>
      </c>
      <c r="K7" s="165">
        <f>SUMPRODUCT(Distances!E25:E28,Distances!G25:G28)/SUM(Distances!E25:E28)</f>
        <v>338.18434852817825</v>
      </c>
      <c r="L7" s="165">
        <f>M7</f>
        <v>37.275145170465059</v>
      </c>
      <c r="M7" s="165">
        <f>SUMPRODUCT(Distances!E13:E24,Distances!G13:G24)/SUM(Distances!E13:E24)</f>
        <v>37.275145170465059</v>
      </c>
      <c r="N7" s="181">
        <f t="shared" si="1"/>
        <v>40.982843197444893</v>
      </c>
      <c r="O7" s="181">
        <f t="shared" si="2"/>
        <v>265.16427481737674</v>
      </c>
      <c r="P7" s="477">
        <f>SUMIFS(Forecasts!$F$5:$F$34,Forecasts!$B$5:$B$34,$B$6,Forecasts!$E$5:$E$34,$C7,Forecasts!$C$5:$C$34,$D7)/1000</f>
        <v>67288.392500000002</v>
      </c>
      <c r="Q7" s="155">
        <f t="shared" ref="Q7:Q15" si="4">P7-R7</f>
        <v>8884.9633048685719</v>
      </c>
      <c r="R7" s="155">
        <f t="shared" si="3"/>
        <v>58403.42919513143</v>
      </c>
      <c r="S7" s="154">
        <f t="shared" ref="S7:T15" si="5">Q7*N7</f>
        <v>364131.05793848046</v>
      </c>
      <c r="T7" s="155">
        <f t="shared" si="5"/>
        <v>15486502.949375033</v>
      </c>
      <c r="U7" s="156">
        <f>Overview!K9</f>
        <v>2.2862786984457464</v>
      </c>
    </row>
    <row r="8" spans="1:21" x14ac:dyDescent="0.25">
      <c r="A8" s="120"/>
      <c r="B8" s="606"/>
      <c r="C8" s="149" t="s">
        <v>96</v>
      </c>
      <c r="D8" s="191" t="s">
        <v>70</v>
      </c>
      <c r="E8" s="165">
        <f>Distances!G7-E7</f>
        <v>25.432681215778231</v>
      </c>
      <c r="F8" s="165">
        <f>F7+Distances!G7</f>
        <v>316.67801187846715</v>
      </c>
      <c r="G8" s="165">
        <f t="shared" si="0"/>
        <v>316.67801187846715</v>
      </c>
      <c r="H8" s="165">
        <f>H7+Distances!G7</f>
        <v>427.59447</v>
      </c>
      <c r="I8" s="165">
        <f>I7+Distances!G7</f>
        <v>284</v>
      </c>
      <c r="J8" s="165">
        <f>J7+Distances!G7</f>
        <v>117.55547662113541</v>
      </c>
      <c r="K8" s="165">
        <f>K7+Distances!G7</f>
        <v>384.18434852817825</v>
      </c>
      <c r="L8" s="165">
        <f>M7+Distances!G7</f>
        <v>83.275145170465066</v>
      </c>
      <c r="M8" s="165">
        <f>L8</f>
        <v>83.275145170465066</v>
      </c>
      <c r="N8" s="181">
        <f t="shared" si="1"/>
        <v>86.982843197444907</v>
      </c>
      <c r="O8" s="181">
        <f t="shared" si="2"/>
        <v>304.56729313349791</v>
      </c>
      <c r="P8" s="477">
        <f>SUMIFS(Forecasts!$F$5:$F$34,Forecasts!$B$5:$B$34,$B$6,Forecasts!$E$5:$E$34,$C8,Forecasts!$C$5:$C$34,$D8)/1000</f>
        <v>0</v>
      </c>
      <c r="Q8" s="155">
        <f t="shared" si="4"/>
        <v>0</v>
      </c>
      <c r="R8" s="155">
        <f t="shared" si="3"/>
        <v>0</v>
      </c>
      <c r="S8" s="154">
        <f t="shared" si="5"/>
        <v>0</v>
      </c>
      <c r="T8" s="155">
        <f t="shared" si="5"/>
        <v>0</v>
      </c>
      <c r="U8" s="156">
        <f>Overview!K12</f>
        <v>2.2862786984457464</v>
      </c>
    </row>
    <row r="9" spans="1:21" x14ac:dyDescent="0.25">
      <c r="A9" s="120"/>
      <c r="B9" s="606"/>
      <c r="C9" s="149" t="s">
        <v>73</v>
      </c>
      <c r="D9" s="191" t="s">
        <v>70</v>
      </c>
      <c r="E9" s="165">
        <f>E7+I7</f>
        <v>258.56731878422175</v>
      </c>
      <c r="F9" s="165">
        <f>F7+I7</f>
        <v>508.67801187846715</v>
      </c>
      <c r="G9" s="165">
        <f t="shared" si="0"/>
        <v>508.67801187846715</v>
      </c>
      <c r="H9" s="165">
        <f>I6</f>
        <v>198.21445</v>
      </c>
      <c r="I9" s="165">
        <v>0</v>
      </c>
      <c r="J9" s="165">
        <f>I7+J7</f>
        <v>309.55547662113543</v>
      </c>
      <c r="K9" s="165">
        <f>I7+K7-2*Distances!G23</f>
        <v>154.80432852817825</v>
      </c>
      <c r="L9" s="187">
        <f>SUMPRODUCT(Distances!$J$13:$J$24*Distances!$E$13:$E$24*(Distances!$C$13:$C$24=$L$5))/SUMIFS(Distances!$E$13:$E$24,Distances!$C$13:$C$24,$L$5)</f>
        <v>214.98403148352875</v>
      </c>
      <c r="M9" s="165">
        <f>L9</f>
        <v>214.98403148352875</v>
      </c>
      <c r="N9" s="181">
        <f t="shared" si="1"/>
        <v>214.24251821832451</v>
      </c>
      <c r="O9" s="181">
        <f t="shared" si="2"/>
        <v>288.30456035154947</v>
      </c>
      <c r="P9" s="477">
        <f>SUMIFS(Forecasts!$F$5:$F$34,Forecasts!$B$5:$B$34,$B$6,Forecasts!$E$5:$E$34,$C9,Forecasts!$C$5:$C$34,$D9)/1000</f>
        <v>0</v>
      </c>
      <c r="Q9" s="155">
        <f t="shared" si="4"/>
        <v>0</v>
      </c>
      <c r="R9" s="155">
        <f t="shared" si="3"/>
        <v>0</v>
      </c>
      <c r="S9" s="154">
        <f t="shared" si="5"/>
        <v>0</v>
      </c>
      <c r="T9" s="155">
        <f t="shared" si="5"/>
        <v>0</v>
      </c>
      <c r="U9" s="156">
        <f>Overview!K13</f>
        <v>2.2862786984457464</v>
      </c>
    </row>
    <row r="10" spans="1:21" x14ac:dyDescent="0.25">
      <c r="A10" s="120"/>
      <c r="B10" s="606"/>
      <c r="C10" s="149" t="s">
        <v>59</v>
      </c>
      <c r="D10" s="191" t="s">
        <v>70</v>
      </c>
      <c r="E10" s="165">
        <f>+E7+Distances!H6</f>
        <v>262.56731878422175</v>
      </c>
      <c r="F10" s="165">
        <f>F7-Distances!H6</f>
        <v>28.678011878467146</v>
      </c>
      <c r="G10" s="165">
        <f t="shared" si="0"/>
        <v>28.678011878467146</v>
      </c>
      <c r="H10" s="165">
        <f>+H7+Distances!H6</f>
        <v>623.59447</v>
      </c>
      <c r="I10" s="165">
        <f>+I7+Distances!H6</f>
        <v>480</v>
      </c>
      <c r="J10" s="165">
        <f>(Distances!H12*Distances!E12+Distances!H29*Distances!E29)/(Distances!E12+Distances!E29)</f>
        <v>212.1553239565886</v>
      </c>
      <c r="K10" s="165">
        <f>+K7+Distances!H6</f>
        <v>580.18434852817825</v>
      </c>
      <c r="L10" s="165">
        <f>SUMPRODUCT(Distances!H13:H24,Distances!E13:E24)/SUM(Distances!E13:E24)</f>
        <v>241.62139261349225</v>
      </c>
      <c r="M10" s="165">
        <f>SUMPRODUCT(Distances!H13:H24,Distances!E13:E24)/SUM(Distances!E13:E24)</f>
        <v>241.62139261349225</v>
      </c>
      <c r="N10" s="181">
        <f t="shared" si="1"/>
        <v>245.79304701836298</v>
      </c>
      <c r="O10" s="181">
        <f t="shared" si="2"/>
        <v>382.35227440982817</v>
      </c>
      <c r="P10" s="477">
        <f>SUMIFS(Forecasts!$F$5:$F$34,Forecasts!$B$5:$B$34,$B$6,Forecasts!$E$5:$E$34,$C10,Forecasts!$C$5:$C$34,$D10)/1000</f>
        <v>10319.273196481112</v>
      </c>
      <c r="Q10" s="155">
        <f t="shared" si="4"/>
        <v>1362.5881118151028</v>
      </c>
      <c r="R10" s="155">
        <f t="shared" si="3"/>
        <v>8956.6850846660091</v>
      </c>
      <c r="S10" s="154">
        <f t="shared" si="5"/>
        <v>334914.68383403198</v>
      </c>
      <c r="T10" s="155">
        <f t="shared" si="5"/>
        <v>3424608.9132946329</v>
      </c>
      <c r="U10" s="156">
        <f>Overview!K10</f>
        <v>2.2862786984457464</v>
      </c>
    </row>
    <row r="11" spans="1:21" x14ac:dyDescent="0.25">
      <c r="A11" s="120"/>
      <c r="B11" s="606"/>
      <c r="C11" s="149" t="s">
        <v>125</v>
      </c>
      <c r="D11" s="191" t="s">
        <v>70</v>
      </c>
      <c r="E11" s="165">
        <f>E13-Distances!$I$29</f>
        <v>354.56731878422175</v>
      </c>
      <c r="F11" s="165">
        <f>(Distances!I29*Distances!E11+Distances!H29*Distances!E9)/(Distances!E9+Distances!E11)</f>
        <v>65.133230977015003</v>
      </c>
      <c r="G11" s="165">
        <f t="shared" si="0"/>
        <v>65.133230977015003</v>
      </c>
      <c r="H11" s="165">
        <f>H13-Distances!$I$29</f>
        <v>715.59447</v>
      </c>
      <c r="I11" s="165">
        <f>I13-Distances!$I$29</f>
        <v>572</v>
      </c>
      <c r="J11" s="165">
        <f>(0*Distances!E29+Distances!E12*(Distances!I12+Distances!I29))/(Distances!E12+Distances!E29)</f>
        <v>270.34947890232434</v>
      </c>
      <c r="K11" s="165">
        <f>K13-Distances!$I$29</f>
        <v>672.18434852817825</v>
      </c>
      <c r="L11" s="165">
        <f>L13-Distances!$I$29</f>
        <v>333.62139261349228</v>
      </c>
      <c r="M11" s="165">
        <f>L11</f>
        <v>333.62139261349228</v>
      </c>
      <c r="N11" s="181">
        <f t="shared" si="1"/>
        <v>337.79304701836298</v>
      </c>
      <c r="O11" s="181">
        <f t="shared" si="2"/>
        <v>457.93994618554888</v>
      </c>
      <c r="P11" s="477">
        <f>SUMIFS(Forecasts!$F$5:$F$34,Forecasts!$B$5:$B$34,$B$6,Forecasts!$E$5:$E$34,$C11,Forecasts!$C$5:$C$34,$D11)/1000</f>
        <v>1765.8999999999999</v>
      </c>
      <c r="Q11" s="155">
        <f t="shared" si="4"/>
        <v>233.17478865418593</v>
      </c>
      <c r="R11" s="155">
        <f t="shared" si="3"/>
        <v>1532.7252113458139</v>
      </c>
      <c r="S11" s="154">
        <f t="shared" si="5"/>
        <v>78764.822347360285</v>
      </c>
      <c r="T11" s="155">
        <f t="shared" si="5"/>
        <v>701896.10080093611</v>
      </c>
      <c r="U11" s="156">
        <v>0</v>
      </c>
    </row>
    <row r="12" spans="1:21" x14ac:dyDescent="0.25">
      <c r="A12" s="120"/>
      <c r="B12" s="606"/>
      <c r="C12" s="149" t="s">
        <v>61</v>
      </c>
      <c r="D12" s="191" t="s">
        <v>70</v>
      </c>
      <c r="E12" s="165">
        <f>E7-(Distances!G12*Distances!E6+(Distances!G10-Distances!G12)*Distances!E10)/(Distances!E6+Distances!E10)</f>
        <v>18.567318784221769</v>
      </c>
      <c r="F12" s="165">
        <f>F7+Distances!G12</f>
        <v>272.67801187846715</v>
      </c>
      <c r="G12" s="165">
        <f t="shared" si="0"/>
        <v>272.67801187846715</v>
      </c>
      <c r="H12" s="165">
        <f>H7+Distances!G12</f>
        <v>383.59447</v>
      </c>
      <c r="I12" s="165">
        <f>I7+Distances!G12</f>
        <v>240</v>
      </c>
      <c r="J12" s="165">
        <f>(0*Distances!E12+(Distances!G29+Distances!G12)*Distances!E29)/(Distances!E29+Distances!E12)</f>
        <v>70.393494411751504</v>
      </c>
      <c r="K12" s="165">
        <f>K7+Distances!G12</f>
        <v>340.18434852817825</v>
      </c>
      <c r="L12" s="165">
        <f>M7+Distances!G12</f>
        <v>39.275145170465059</v>
      </c>
      <c r="M12" s="165">
        <f>L12</f>
        <v>39.275145170465059</v>
      </c>
      <c r="N12" s="181">
        <f t="shared" si="1"/>
        <v>42.982843197444893</v>
      </c>
      <c r="O12" s="181">
        <f t="shared" si="2"/>
        <v>266.22486567950097</v>
      </c>
      <c r="P12" s="477">
        <f>SUMIFS(Forecasts!$F$5:$F$34,Forecasts!$B$5:$B$34,$B$6,Forecasts!$E$5:$E$34,$C12,Forecasts!$C$5:$C$34,$D12)/1000</f>
        <v>6663.0379999999996</v>
      </c>
      <c r="Q12" s="155">
        <f t="shared" si="4"/>
        <v>879.80773398539623</v>
      </c>
      <c r="R12" s="155">
        <f t="shared" si="3"/>
        <v>5783.2302660146033</v>
      </c>
      <c r="S12" s="154">
        <f t="shared" si="5"/>
        <v>37816.637873793596</v>
      </c>
      <c r="T12" s="155">
        <f t="shared" si="5"/>
        <v>1539639.7007633625</v>
      </c>
      <c r="U12" s="156">
        <v>0</v>
      </c>
    </row>
    <row r="13" spans="1:21" s="126" customFormat="1" x14ac:dyDescent="0.25">
      <c r="A13" s="120"/>
      <c r="B13" s="606"/>
      <c r="C13" s="149" t="s">
        <v>60</v>
      </c>
      <c r="D13" s="191" t="s">
        <v>70</v>
      </c>
      <c r="E13" s="165">
        <f>E7+Distances!I6</f>
        <v>357.56731878422175</v>
      </c>
      <c r="F13" s="165">
        <f>Distances!I6-F7</f>
        <v>66.321988121532854</v>
      </c>
      <c r="G13" s="165">
        <f>+F13</f>
        <v>66.321988121532854</v>
      </c>
      <c r="H13" s="165">
        <f>Distances!I6+H7</f>
        <v>718.59447</v>
      </c>
      <c r="I13" s="165">
        <f>Distances!I6+I7</f>
        <v>575</v>
      </c>
      <c r="J13" s="165">
        <f>+J7+Distances!I6</f>
        <v>408.55547662113543</v>
      </c>
      <c r="K13" s="165">
        <f>+K7+Distances!I6</f>
        <v>675.18434852817825</v>
      </c>
      <c r="L13" s="165">
        <f>SUMPRODUCT(Distances!I13:I24,Distances!E13:E24)/SUM(Distances!E13:E24)</f>
        <v>336.62139261349228</v>
      </c>
      <c r="M13" s="165">
        <f>L13</f>
        <v>336.62139261349228</v>
      </c>
      <c r="N13" s="181">
        <f t="shared" si="1"/>
        <v>340.79304701836298</v>
      </c>
      <c r="O13" s="181">
        <f t="shared" si="2"/>
        <v>473.24712309594327</v>
      </c>
      <c r="P13" s="477">
        <f>SUMIFS(Forecasts!$F$5:$F$34,Forecasts!$B$5:$B$34,$B$6,Forecasts!$E$5:$E$34,$C13,Forecasts!$C$5:$C$34,$D13)/1000</f>
        <v>2311.8112280670944</v>
      </c>
      <c r="Q13" s="155">
        <f t="shared" si="4"/>
        <v>305.25856193041477</v>
      </c>
      <c r="R13" s="155">
        <f t="shared" si="3"/>
        <v>2006.5526661366796</v>
      </c>
      <c r="S13" s="154">
        <f t="shared" si="5"/>
        <v>104029.99544870971</v>
      </c>
      <c r="T13" s="155">
        <f t="shared" si="5"/>
        <v>949595.27658967837</v>
      </c>
      <c r="U13" s="156">
        <f>Overview!K11</f>
        <v>2.2862786984457464</v>
      </c>
    </row>
    <row r="14" spans="1:21" x14ac:dyDescent="0.25">
      <c r="A14" s="120"/>
      <c r="B14" s="606"/>
      <c r="C14" s="149" t="s">
        <v>60</v>
      </c>
      <c r="D14" s="192" t="s">
        <v>71</v>
      </c>
      <c r="E14" s="165">
        <f>E13</f>
        <v>357.56731878422175</v>
      </c>
      <c r="F14" s="165">
        <f t="shared" ref="F14:L14" si="6">F13</f>
        <v>66.321988121532854</v>
      </c>
      <c r="G14" s="165">
        <f t="shared" si="6"/>
        <v>66.321988121532854</v>
      </c>
      <c r="H14" s="165">
        <f t="shared" si="6"/>
        <v>718.59447</v>
      </c>
      <c r="I14" s="165">
        <f t="shared" si="6"/>
        <v>575</v>
      </c>
      <c r="J14" s="165">
        <f>J13</f>
        <v>408.55547662113543</v>
      </c>
      <c r="K14" s="165">
        <f t="shared" si="6"/>
        <v>675.18434852817825</v>
      </c>
      <c r="L14" s="165">
        <f t="shared" si="6"/>
        <v>336.62139261349228</v>
      </c>
      <c r="M14" s="165">
        <f>L14</f>
        <v>336.62139261349228</v>
      </c>
      <c r="N14" s="181">
        <f t="shared" si="1"/>
        <v>340.79304701836298</v>
      </c>
      <c r="O14" s="181">
        <f t="shared" si="2"/>
        <v>473.24712309594327</v>
      </c>
      <c r="P14" s="477">
        <f>SUMIFS(Forecasts!$F$5:$F$34,Forecasts!$B$5:$B$34,$B$6,Forecasts!$E$5:$E$34,$C14,Forecasts!$C$5:$C$34,$D14)/1000</f>
        <v>3357</v>
      </c>
      <c r="Q14" s="155">
        <f t="shared" si="4"/>
        <v>443.26845546865798</v>
      </c>
      <c r="R14" s="155">
        <f t="shared" si="3"/>
        <v>2913.731544531342</v>
      </c>
      <c r="S14" s="154">
        <f t="shared" si="5"/>
        <v>151062.8075862875</v>
      </c>
      <c r="T14" s="155">
        <f t="shared" si="5"/>
        <v>1378915.0709233568</v>
      </c>
      <c r="U14" s="156">
        <f>Overview!K23</f>
        <v>2.0576508286011714</v>
      </c>
    </row>
    <row r="15" spans="1:21" x14ac:dyDescent="0.25">
      <c r="A15" s="120"/>
      <c r="B15" s="606"/>
      <c r="C15" s="149" t="s">
        <v>75</v>
      </c>
      <c r="D15" s="191" t="s">
        <v>70</v>
      </c>
      <c r="E15" s="165">
        <f>E7</f>
        <v>20.567318784221769</v>
      </c>
      <c r="F15" s="165">
        <f>F7</f>
        <v>270.67801187846715</v>
      </c>
      <c r="G15" s="165">
        <f>F15</f>
        <v>270.67801187846715</v>
      </c>
      <c r="H15" s="165">
        <f>H7</f>
        <v>381.59447</v>
      </c>
      <c r="I15" s="187">
        <f>I7</f>
        <v>238</v>
      </c>
      <c r="J15" s="187">
        <f>J7</f>
        <v>71.555476621135412</v>
      </c>
      <c r="K15" s="187">
        <f>K7</f>
        <v>338.18434852817825</v>
      </c>
      <c r="L15" s="165">
        <v>0</v>
      </c>
      <c r="M15" s="165">
        <f>L15</f>
        <v>0</v>
      </c>
      <c r="N15" s="181">
        <f t="shared" si="1"/>
        <v>4.1669893369888049</v>
      </c>
      <c r="O15" s="181">
        <f t="shared" si="2"/>
        <v>265.16427481737674</v>
      </c>
      <c r="P15" s="477">
        <f>SUMIFS(Forecasts!$F$5:$F$34,Forecasts!$B$5:$B$34,$B$6,Forecasts!$E$5:$E$34,$C15,Forecasts!$C$5:$C$34,$D15)/1000</f>
        <v>10848</v>
      </c>
      <c r="Q15" s="155">
        <f t="shared" si="4"/>
        <v>1432.4028015859403</v>
      </c>
      <c r="R15" s="155">
        <f t="shared" si="3"/>
        <v>9415.5971984140597</v>
      </c>
      <c r="S15" s="154">
        <f t="shared" si="5"/>
        <v>5968.807200481504</v>
      </c>
      <c r="T15" s="155">
        <f t="shared" si="5"/>
        <v>2496680.0030899881</v>
      </c>
      <c r="U15" s="156">
        <f>Overview!K21</f>
        <v>2.2862786984457464</v>
      </c>
    </row>
    <row r="16" spans="1:21" x14ac:dyDescent="0.25">
      <c r="A16" s="120"/>
      <c r="B16" s="120"/>
      <c r="C16" s="150" t="s">
        <v>416</v>
      </c>
      <c r="D16" s="150"/>
      <c r="E16" s="476">
        <f>SUMIFS(Forecasts!$F$5:$F$34,Forecasts!$D$5:$D$34,'CAA CWD'!E$4,Forecasts!$C$5:$C$34,'CAA CWD'!E$5)/1000</f>
        <v>14347.891061722174</v>
      </c>
      <c r="F16" s="476">
        <f>SUMIFS(Forecasts!$F$5:$F$34,Forecasts!$D$5:$D$34,'CAA CWD'!F$4,Forecasts!$C$5:$C$34,'CAA CWD'!F$5)/1000</f>
        <v>14873.46400429618</v>
      </c>
      <c r="G16" s="476">
        <f>SUMIFS(Forecasts!$F$5:$F$34,Forecasts!$D$5:$D$34,'CAA CWD'!G$4,Forecasts!$C$5:$C$34,'CAA CWD'!G$5)/1000</f>
        <v>6431.3720000000021</v>
      </c>
      <c r="H16" s="476">
        <f>SUMIFS(Forecasts!$F$5:$F$34,Forecasts!$D$5:$D$34,'CAA CWD'!H$4,Forecasts!$C$5:$C$34,'CAA CWD'!H$5)/1000</f>
        <v>43571.928999999996</v>
      </c>
      <c r="I16" s="476">
        <f>SUMIFS(Forecasts!$F$5:$F$34,Forecasts!$D$5:$D$34,'CAA CWD'!I$4,Forecasts!$C$5:$C$34,'CAA CWD'!I$5)/1000</f>
        <v>1810.84997476493</v>
      </c>
      <c r="J16" s="476">
        <f>SUMIFS(Forecasts!$F$5:$F$34,Forecasts!$D$5:$D$34,'CAA CWD'!J$4,Forecasts!$C$5:$C$34,'CAA CWD'!J$5)/1000</f>
        <v>8428.9380000000001</v>
      </c>
      <c r="K16" s="476">
        <f>SUMIFS(Forecasts!$F$5:$F$34,Forecasts!$D$5:$D$34,'CAA CWD'!K$4,Forecasts!$C$5:$C$34,'CAA CWD'!K$5)/1000</f>
        <v>391.65300000000002</v>
      </c>
      <c r="L16" s="476">
        <f>SUMIFS(Forecasts!$F$5:$F$34,Forecasts!$D$5:$D$34,'CAA CWD'!L$4,Forecasts!$C$5:$C$34,'CAA CWD'!L$5)/1000</f>
        <v>24379.812999999998</v>
      </c>
      <c r="M16" s="476">
        <f>SUMIFS(Forecasts!$F$5:$F$34,Forecasts!$D$5:$D$34,'CAA CWD'!M$4,Forecasts!$C$5:$C$34,'CAA CWD'!M$5)/1000</f>
        <v>7014.2920000000004</v>
      </c>
      <c r="N16" s="120"/>
      <c r="O16" s="141"/>
      <c r="Q16" s="160"/>
      <c r="R16" s="160"/>
      <c r="S16" s="141"/>
      <c r="T16" s="141"/>
    </row>
    <row r="17" spans="1:23" x14ac:dyDescent="0.25">
      <c r="A17" s="120"/>
      <c r="B17" s="120"/>
      <c r="C17" s="150" t="s">
        <v>182</v>
      </c>
      <c r="D17" s="150"/>
      <c r="E17" s="138">
        <f t="shared" ref="E17:M17" si="7">(SUMPRODUCT(E6:E15,$P6:$P15))/SUMPRODUCT($P6:$P15)</f>
        <v>70.851944776321474</v>
      </c>
      <c r="F17" s="138">
        <f t="shared" si="7"/>
        <v>233.7491965090309</v>
      </c>
      <c r="G17" s="138">
        <f t="shared" si="7"/>
        <v>233.7491965090309</v>
      </c>
      <c r="H17" s="138">
        <f t="shared" si="7"/>
        <v>428.27761341797941</v>
      </c>
      <c r="I17" s="138">
        <f t="shared" si="7"/>
        <v>286.41194308150671</v>
      </c>
      <c r="J17" s="138">
        <f t="shared" si="7"/>
        <v>109.42627230959224</v>
      </c>
      <c r="K17" s="138">
        <f t="shared" si="7"/>
        <v>385.30661099193418</v>
      </c>
      <c r="L17" s="138">
        <f t="shared" si="7"/>
        <v>77.226502383086753</v>
      </c>
      <c r="M17" s="138">
        <f t="shared" si="7"/>
        <v>77.226502383086753</v>
      </c>
      <c r="N17" s="120"/>
      <c r="O17" s="184"/>
      <c r="P17" s="160"/>
      <c r="Q17" s="160"/>
      <c r="R17" s="160"/>
      <c r="S17" s="120"/>
      <c r="T17" s="120"/>
      <c r="U17" s="129"/>
    </row>
    <row r="18" spans="1:23" x14ac:dyDescent="0.25">
      <c r="A18" s="120"/>
      <c r="B18" s="120"/>
      <c r="C18" s="611" t="s">
        <v>202</v>
      </c>
      <c r="D18" s="612"/>
      <c r="E18" s="138">
        <f>E17*E16</f>
        <v>1016575.9851618159</v>
      </c>
      <c r="F18" s="138">
        <f t="shared" ref="F18:M18" si="8">F17*F16</f>
        <v>3476660.2603102252</v>
      </c>
      <c r="G18" s="138">
        <f t="shared" si="8"/>
        <v>1503328.0374506796</v>
      </c>
      <c r="H18" s="138">
        <f t="shared" si="8"/>
        <v>18660881.764137644</v>
      </c>
      <c r="I18" s="138">
        <f t="shared" si="8"/>
        <v>518649.05990152102</v>
      </c>
      <c r="J18" s="138">
        <f t="shared" si="8"/>
        <v>922347.26486866979</v>
      </c>
      <c r="K18" s="138">
        <f t="shared" si="8"/>
        <v>150906.490114824</v>
      </c>
      <c r="L18" s="138">
        <f t="shared" si="8"/>
        <v>1882767.6867437093</v>
      </c>
      <c r="M18" s="138">
        <f t="shared" si="8"/>
        <v>541689.23785366642</v>
      </c>
      <c r="N18" s="120"/>
      <c r="O18" s="120"/>
      <c r="P18" s="120"/>
      <c r="Q18" s="130"/>
      <c r="R18" s="130"/>
      <c r="S18" s="120"/>
      <c r="T18" s="120"/>
      <c r="U18" s="130"/>
    </row>
    <row r="19" spans="1:23" x14ac:dyDescent="0.25">
      <c r="A19" s="120"/>
      <c r="B19" s="120"/>
      <c r="C19" s="150" t="s">
        <v>201</v>
      </c>
      <c r="D19" s="151"/>
      <c r="E19" s="156">
        <f>Overview!K15</f>
        <v>0.53797142504319928</v>
      </c>
      <c r="F19" s="156">
        <f>Overview!K16</f>
        <v>1.7748332631610644</v>
      </c>
      <c r="G19" s="156">
        <f>Overview!K26</f>
        <v>1.597349936844958</v>
      </c>
      <c r="H19" s="156">
        <f>Overview!K48</f>
        <v>3.2683981283207926</v>
      </c>
      <c r="I19" s="156">
        <f>Overview!K17</f>
        <v>0.41543113486441718</v>
      </c>
      <c r="J19" s="156">
        <f>Overview!K29</f>
        <v>0.41543113486441718</v>
      </c>
      <c r="K19" s="156">
        <f>Overview!K50</f>
        <v>2.9255929000719569</v>
      </c>
      <c r="L19" s="156">
        <f>Overview!K20</f>
        <v>0.65534378655105607</v>
      </c>
      <c r="M19" s="156">
        <f>Overview!K24</f>
        <v>0.58980940789595038</v>
      </c>
      <c r="N19" s="120"/>
      <c r="O19" s="120"/>
      <c r="P19" s="120"/>
      <c r="Q19" s="159"/>
      <c r="R19" s="120"/>
      <c r="S19" s="120"/>
      <c r="T19" s="120"/>
      <c r="U19" s="120"/>
    </row>
    <row r="20" spans="1:23" x14ac:dyDescent="0.25">
      <c r="A20" s="120"/>
      <c r="B20" s="120"/>
      <c r="C20" s="142"/>
      <c r="D20" s="142"/>
      <c r="E20" s="142"/>
      <c r="F20" s="120"/>
      <c r="G20" s="120"/>
      <c r="H20" s="120"/>
      <c r="I20" s="132"/>
      <c r="J20" s="475"/>
      <c r="K20" s="132"/>
      <c r="L20" s="132"/>
      <c r="M20" s="132"/>
      <c r="N20" s="132"/>
      <c r="O20" s="120"/>
      <c r="P20" s="120"/>
      <c r="Q20" s="120"/>
      <c r="R20" s="120"/>
      <c r="S20" s="120"/>
      <c r="T20" s="120"/>
      <c r="U20" s="120"/>
      <c r="V20" s="128"/>
    </row>
    <row r="21" spans="1:23" ht="60.95" customHeight="1" x14ac:dyDescent="0.25">
      <c r="A21" s="120"/>
      <c r="B21" s="120"/>
      <c r="C21" s="143"/>
      <c r="D21" s="186"/>
      <c r="E21" s="144" t="s">
        <v>366</v>
      </c>
      <c r="F21" s="145">
        <f>SUMPRODUCT(U6:U15,Q6:Q15)</f>
        <v>28455.273206284095</v>
      </c>
      <c r="G21" s="125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63"/>
      <c r="S21" s="164"/>
      <c r="T21" s="120"/>
      <c r="U21" s="120"/>
      <c r="V21" s="128"/>
    </row>
    <row r="22" spans="1:23" x14ac:dyDescent="0.25">
      <c r="A22" s="120"/>
      <c r="B22" s="120"/>
      <c r="C22" s="143"/>
      <c r="D22" s="186"/>
      <c r="E22" s="144" t="s">
        <v>367</v>
      </c>
      <c r="F22" s="147">
        <f>SUMPRODUCT(U6:U15,R6:R15)</f>
        <v>187044.7267937159</v>
      </c>
      <c r="G22" s="125"/>
      <c r="H22" s="132"/>
      <c r="I22" s="120"/>
      <c r="J22" s="141"/>
      <c r="K22" s="120"/>
      <c r="L22" s="120"/>
      <c r="M22" s="120"/>
      <c r="N22" s="120"/>
      <c r="O22" s="131"/>
      <c r="P22" s="131"/>
      <c r="Q22" s="158"/>
      <c r="R22" s="163"/>
      <c r="S22" s="120"/>
      <c r="T22" s="158"/>
      <c r="U22" s="158"/>
      <c r="V22" s="128"/>
    </row>
    <row r="23" spans="1:23" x14ac:dyDescent="0.25">
      <c r="A23" s="120"/>
      <c r="B23" s="120"/>
      <c r="C23" s="143"/>
      <c r="D23" s="186"/>
      <c r="E23" s="144" t="s">
        <v>368</v>
      </c>
      <c r="F23" s="145">
        <f>SUMPRODUCT(E16:M16*E19:M19*(E3:M3="Intra"))</f>
        <v>21260.071614247845</v>
      </c>
      <c r="G23" s="132"/>
      <c r="I23" s="120"/>
      <c r="J23" s="120"/>
      <c r="K23" s="120"/>
      <c r="L23" s="120"/>
      <c r="M23" s="120"/>
      <c r="N23" s="120"/>
      <c r="O23" s="120"/>
      <c r="P23" s="120"/>
      <c r="Q23" s="158"/>
      <c r="R23" s="120"/>
      <c r="S23" s="120"/>
      <c r="T23" s="158"/>
      <c r="U23" s="161"/>
      <c r="V23" s="128"/>
    </row>
    <row r="24" spans="1:23" x14ac:dyDescent="0.25">
      <c r="A24" s="120"/>
      <c r="B24" s="120"/>
      <c r="C24" s="194"/>
      <c r="D24" s="195"/>
      <c r="E24" s="196" t="s">
        <v>369</v>
      </c>
      <c r="F24" s="145">
        <f>SUMPRODUCT(E16:M16*E19:M19*(E3:M3="Cross"))</f>
        <v>191054.16364217337</v>
      </c>
      <c r="G24" s="132"/>
      <c r="H24" s="132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8"/>
    </row>
    <row r="25" spans="1:23" x14ac:dyDescent="0.25">
      <c r="A25" s="120"/>
      <c r="B25" s="120"/>
      <c r="C25" s="200"/>
      <c r="D25" s="201"/>
      <c r="E25" s="202" t="s">
        <v>164</v>
      </c>
      <c r="F25" s="197">
        <f>F21+F23</f>
        <v>49715.344820531944</v>
      </c>
      <c r="G25" s="376"/>
      <c r="H25" s="120"/>
      <c r="I25" s="132"/>
      <c r="J25" s="120"/>
      <c r="K25" s="120"/>
      <c r="L25" s="120"/>
      <c r="M25" s="120"/>
      <c r="N25" s="120"/>
      <c r="O25" s="120"/>
      <c r="P25" s="120"/>
      <c r="R25" s="120"/>
      <c r="S25" s="120"/>
      <c r="T25" s="120"/>
      <c r="U25" s="120"/>
      <c r="V25" s="128"/>
    </row>
    <row r="26" spans="1:23" x14ac:dyDescent="0.25">
      <c r="A26" s="120"/>
      <c r="B26" s="120"/>
      <c r="C26" s="198"/>
      <c r="D26" s="199"/>
      <c r="E26" s="153" t="s">
        <v>165</v>
      </c>
      <c r="F26" s="146">
        <f>F22+F24</f>
        <v>378098.89043588925</v>
      </c>
      <c r="G26" s="376"/>
      <c r="H26" s="120"/>
      <c r="I26" s="284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8"/>
      <c r="W26" s="128"/>
    </row>
    <row r="27" spans="1:23" x14ac:dyDescent="0.25">
      <c r="A27" s="120"/>
      <c r="B27" s="120"/>
      <c r="C27" s="141"/>
      <c r="D27" s="141"/>
      <c r="E27" s="141"/>
      <c r="F27" s="133"/>
      <c r="G27" s="133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8"/>
      <c r="W27" s="128"/>
    </row>
    <row r="28" spans="1:23" x14ac:dyDescent="0.25">
      <c r="A28" s="120"/>
      <c r="B28" s="120"/>
      <c r="C28" s="194"/>
      <c r="D28" s="195"/>
      <c r="E28" s="196" t="s">
        <v>166</v>
      </c>
      <c r="F28" s="193">
        <f>SUM(S6:S15)</f>
        <v>1102741.4710272655</v>
      </c>
      <c r="G28" s="133"/>
      <c r="H28" s="120"/>
      <c r="I28" s="120"/>
      <c r="J28" s="120"/>
      <c r="K28" s="135"/>
      <c r="L28" s="139" t="s">
        <v>176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8"/>
    </row>
    <row r="29" spans="1:23" ht="15" customHeight="1" x14ac:dyDescent="0.25">
      <c r="A29" s="120"/>
      <c r="B29" s="131"/>
      <c r="C29" s="143"/>
      <c r="D29" s="186"/>
      <c r="E29" s="144" t="s">
        <v>167</v>
      </c>
      <c r="F29" s="203">
        <f>SUM(K18:M18)</f>
        <v>2575363.4147121995</v>
      </c>
      <c r="G29" s="133"/>
      <c r="H29" s="120"/>
      <c r="I29" s="120"/>
      <c r="J29" s="120"/>
      <c r="K29" s="148" t="s">
        <v>169</v>
      </c>
      <c r="L29" s="460">
        <f>F25/F30*1000</f>
        <v>13.516565287000214</v>
      </c>
      <c r="M29" s="119" t="s">
        <v>184</v>
      </c>
      <c r="N29" s="120"/>
      <c r="O29" s="120"/>
      <c r="P29" s="120"/>
      <c r="Q29" s="120"/>
      <c r="R29" s="120"/>
      <c r="S29" s="120"/>
      <c r="T29" s="120"/>
      <c r="U29" s="120"/>
      <c r="V29" s="128"/>
    </row>
    <row r="30" spans="1:23" x14ac:dyDescent="0.25">
      <c r="A30" s="120"/>
      <c r="B30" s="131"/>
      <c r="C30" s="609" t="s">
        <v>168</v>
      </c>
      <c r="D30" s="609"/>
      <c r="E30" s="609"/>
      <c r="F30" s="146">
        <f>F28+F29</f>
        <v>3678104.8857394652</v>
      </c>
      <c r="G30" s="133"/>
      <c r="H30" s="120"/>
      <c r="I30" s="120"/>
      <c r="J30" s="120"/>
      <c r="K30" s="148" t="s">
        <v>171</v>
      </c>
      <c r="L30" s="460">
        <f>F26/F33*1000</f>
        <v>7.2437060620137173</v>
      </c>
      <c r="M30" s="119" t="s">
        <v>184</v>
      </c>
      <c r="N30" s="120"/>
      <c r="O30" s="120"/>
      <c r="P30" s="120"/>
      <c r="Q30" s="120"/>
      <c r="R30" s="120"/>
      <c r="S30" s="120"/>
      <c r="T30" s="120"/>
      <c r="U30" s="120"/>
      <c r="V30" s="128"/>
    </row>
    <row r="31" spans="1:23" x14ac:dyDescent="0.25">
      <c r="A31" s="120"/>
      <c r="B31" s="131"/>
      <c r="C31" s="610" t="s">
        <v>170</v>
      </c>
      <c r="D31" s="610"/>
      <c r="E31" s="610"/>
      <c r="F31" s="147">
        <f>SUM(T6:T15)</f>
        <v>26098442.371830557</v>
      </c>
      <c r="G31" s="133"/>
      <c r="H31" s="120"/>
      <c r="I31" s="120"/>
      <c r="J31" s="120"/>
      <c r="K31" s="148" t="s">
        <v>185</v>
      </c>
      <c r="L31" s="136">
        <f>2*(ABS(L29-L30))/(L29+L30)</f>
        <v>0.60431379913388694</v>
      </c>
      <c r="M31" s="120"/>
      <c r="N31" s="120"/>
      <c r="O31" s="120"/>
      <c r="P31" s="120"/>
      <c r="Q31" s="120"/>
      <c r="R31" s="120"/>
      <c r="S31" s="120"/>
      <c r="T31" s="120"/>
      <c r="U31" s="120"/>
      <c r="V31" s="128"/>
    </row>
    <row r="32" spans="1:23" x14ac:dyDescent="0.25">
      <c r="A32" s="120"/>
      <c r="B32" s="131"/>
      <c r="C32" s="610" t="s">
        <v>172</v>
      </c>
      <c r="D32" s="610"/>
      <c r="E32" s="610"/>
      <c r="F32" s="147">
        <f>SUM(E18:J18)</f>
        <v>26098442.371830553</v>
      </c>
      <c r="G32" s="133"/>
      <c r="H32" s="120"/>
      <c r="I32" s="123"/>
      <c r="J32" s="123"/>
      <c r="K32" s="607" t="str">
        <f>IF(L31&lt;0.1,"justification not required","justification required!")</f>
        <v>justification required!</v>
      </c>
      <c r="L32" s="608"/>
      <c r="M32" s="120"/>
      <c r="N32" s="120"/>
      <c r="O32" s="120"/>
      <c r="P32" s="120"/>
      <c r="Q32" s="120"/>
      <c r="R32" s="120"/>
      <c r="S32" s="120"/>
      <c r="T32" s="120"/>
      <c r="U32" s="120"/>
      <c r="V32" s="128"/>
    </row>
    <row r="33" spans="1:22" x14ac:dyDescent="0.25">
      <c r="A33" s="120"/>
      <c r="B33" s="131"/>
      <c r="C33" s="604" t="s">
        <v>173</v>
      </c>
      <c r="D33" s="604"/>
      <c r="E33" s="604"/>
      <c r="F33" s="146">
        <f>F31+F32</f>
        <v>52196884.743661106</v>
      </c>
      <c r="G33" s="133"/>
      <c r="H33" s="120"/>
      <c r="I33" s="123"/>
      <c r="J33" s="123"/>
      <c r="K33" s="123"/>
      <c r="L33" s="123"/>
      <c r="M33" s="120"/>
      <c r="N33" s="120"/>
      <c r="O33" s="120"/>
      <c r="Q33" s="120"/>
      <c r="R33" s="120"/>
      <c r="S33" s="120"/>
      <c r="T33" s="120"/>
      <c r="U33" s="120"/>
      <c r="V33" s="128"/>
    </row>
    <row r="34" spans="1:22" x14ac:dyDescent="0.25">
      <c r="A34" s="120"/>
      <c r="B34" s="131"/>
      <c r="C34" s="120"/>
      <c r="D34" s="120"/>
      <c r="E34" s="120"/>
      <c r="F34" s="120"/>
      <c r="G34" s="120"/>
      <c r="H34" s="133"/>
      <c r="I34" s="123"/>
      <c r="J34" s="123"/>
      <c r="K34" s="124"/>
      <c r="L34" s="124"/>
      <c r="M34" s="120"/>
      <c r="N34" s="120"/>
      <c r="O34" s="120"/>
      <c r="P34" s="120"/>
      <c r="Q34" s="120"/>
      <c r="R34" s="120"/>
      <c r="S34" s="120"/>
      <c r="T34" s="120"/>
      <c r="U34" s="120"/>
      <c r="V34" s="128"/>
    </row>
    <row r="35" spans="1:22" x14ac:dyDescent="0.2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0"/>
      <c r="N35" s="120"/>
      <c r="O35" s="120"/>
      <c r="P35" s="120"/>
      <c r="Q35" s="120"/>
      <c r="R35" s="120"/>
      <c r="S35" s="120"/>
      <c r="T35" s="120"/>
      <c r="U35" s="120"/>
      <c r="V35" s="128"/>
    </row>
    <row r="36" spans="1:22" x14ac:dyDescent="0.2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34"/>
      <c r="R36" s="134"/>
      <c r="S36" s="134"/>
      <c r="T36" s="123"/>
      <c r="U36" s="123"/>
      <c r="V36" s="128"/>
    </row>
    <row r="37" spans="1:22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0"/>
      <c r="L37" s="120"/>
      <c r="M37" s="123"/>
      <c r="N37" s="123"/>
      <c r="O37" s="123"/>
      <c r="P37" s="123"/>
      <c r="Q37" s="123"/>
      <c r="R37" s="123"/>
      <c r="S37" s="123"/>
      <c r="T37" s="123"/>
      <c r="U37" s="123"/>
      <c r="V37" s="128"/>
    </row>
    <row r="38" spans="1:22" x14ac:dyDescent="0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0"/>
      <c r="L38" s="120"/>
      <c r="M38" s="124"/>
      <c r="N38" s="124"/>
      <c r="O38" s="124"/>
      <c r="P38" s="124"/>
      <c r="Q38" s="124"/>
      <c r="R38" s="124"/>
      <c r="S38" s="124"/>
      <c r="T38" s="124"/>
      <c r="U38" s="124"/>
      <c r="V38" s="128"/>
    </row>
    <row r="39" spans="1:22" x14ac:dyDescent="0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0"/>
      <c r="L39" s="120"/>
      <c r="M39" s="123"/>
      <c r="N39" s="123"/>
      <c r="O39" s="123"/>
      <c r="P39" s="123"/>
      <c r="Q39" s="123"/>
      <c r="R39" s="123"/>
      <c r="S39" s="123"/>
      <c r="T39" s="123"/>
      <c r="U39" s="123"/>
      <c r="V39" s="128"/>
    </row>
    <row r="40" spans="1:22" x14ac:dyDescent="0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0"/>
      <c r="L40" s="120"/>
      <c r="M40" s="123"/>
      <c r="N40" s="123"/>
      <c r="O40" s="123"/>
      <c r="P40" s="123"/>
      <c r="Q40" s="123"/>
      <c r="R40" s="123"/>
      <c r="S40" s="123"/>
      <c r="T40" s="123"/>
      <c r="U40" s="123"/>
      <c r="V40" s="128"/>
    </row>
    <row r="41" spans="1:22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8"/>
    </row>
  </sheetData>
  <mergeCells count="9">
    <mergeCell ref="K32:L32"/>
    <mergeCell ref="C33:E33"/>
    <mergeCell ref="E2:M2"/>
    <mergeCell ref="C4:D5"/>
    <mergeCell ref="B6:B15"/>
    <mergeCell ref="C18:D18"/>
    <mergeCell ref="C30:E30"/>
    <mergeCell ref="C31:E31"/>
    <mergeCell ref="C32:E3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4">
    <tabColor theme="3" tint="0.39997558519241921"/>
  </sheetPr>
  <dimension ref="A1:H21"/>
  <sheetViews>
    <sheetView workbookViewId="0">
      <selection activeCell="G21" sqref="G21"/>
    </sheetView>
  </sheetViews>
  <sheetFormatPr baseColWidth="10" defaultColWidth="11.5703125" defaultRowHeight="15" x14ac:dyDescent="0.25"/>
  <cols>
    <col min="1" max="1" width="18.140625" style="262" customWidth="1"/>
    <col min="2" max="2" width="12" style="262" customWidth="1"/>
    <col min="3" max="4" width="11.5703125" style="262" customWidth="1"/>
    <col min="5" max="5" width="17.42578125" style="262" customWidth="1"/>
    <col min="6" max="6" width="24" style="262" customWidth="1"/>
    <col min="7" max="7" width="13.140625" style="262" customWidth="1"/>
    <col min="8" max="8" width="33.5703125" style="262" bestFit="1" customWidth="1"/>
    <col min="9" max="16384" width="11.5703125" style="262"/>
  </cols>
  <sheetData>
    <row r="1" spans="1:8" ht="15.75" thickBot="1" x14ac:dyDescent="0.3"/>
    <row r="2" spans="1:8" ht="15.75" thickBot="1" x14ac:dyDescent="0.3">
      <c r="F2" s="274" t="s">
        <v>271</v>
      </c>
      <c r="G2" s="501">
        <f>G10-G20</f>
        <v>0.66799571999999952</v>
      </c>
    </row>
    <row r="3" spans="1:8" x14ac:dyDescent="0.25">
      <c r="A3" s="33" t="s">
        <v>270</v>
      </c>
      <c r="D3" s="29" t="s">
        <v>374</v>
      </c>
      <c r="E3" s="474" t="s">
        <v>373</v>
      </c>
      <c r="F3" s="474"/>
    </row>
    <row r="5" spans="1:8" s="229" customFormat="1" ht="45" x14ac:dyDescent="0.25">
      <c r="A5" s="471" t="s">
        <v>68</v>
      </c>
      <c r="B5" s="471" t="s">
        <v>66</v>
      </c>
      <c r="C5" s="471" t="s">
        <v>265</v>
      </c>
      <c r="D5" s="471" t="s">
        <v>264</v>
      </c>
      <c r="E5" s="471" t="s">
        <v>263</v>
      </c>
      <c r="F5" s="471" t="s">
        <v>262</v>
      </c>
      <c r="G5" s="471" t="s">
        <v>261</v>
      </c>
      <c r="H5" s="470" t="s">
        <v>260</v>
      </c>
    </row>
    <row r="6" spans="1:8" x14ac:dyDescent="0.25">
      <c r="A6" s="52" t="s">
        <v>96</v>
      </c>
      <c r="B6" s="52" t="s">
        <v>69</v>
      </c>
      <c r="C6" s="52" t="s">
        <v>259</v>
      </c>
      <c r="D6" s="270"/>
      <c r="E6" s="270">
        <v>0.89600000000000013</v>
      </c>
      <c r="F6" s="270"/>
      <c r="G6" s="273"/>
      <c r="H6" s="52" t="s">
        <v>269</v>
      </c>
    </row>
    <row r="7" spans="1:8" x14ac:dyDescent="0.25">
      <c r="A7" s="176" t="s">
        <v>96</v>
      </c>
      <c r="B7" s="176" t="s">
        <v>57</v>
      </c>
      <c r="C7" s="176" t="s">
        <v>268</v>
      </c>
      <c r="D7" s="267"/>
      <c r="E7" s="267">
        <v>2.6739299999999999</v>
      </c>
      <c r="F7" s="267"/>
      <c r="G7" s="267">
        <f>E7+D7*8760*F7</f>
        <v>2.6739299999999999</v>
      </c>
      <c r="H7" s="176" t="s">
        <v>375</v>
      </c>
    </row>
    <row r="8" spans="1:8" x14ac:dyDescent="0.25">
      <c r="A8" s="176" t="s">
        <v>267</v>
      </c>
      <c r="B8" s="176" t="s">
        <v>69</v>
      </c>
      <c r="C8" s="176" t="s">
        <v>268</v>
      </c>
      <c r="D8" s="268">
        <v>0.86</v>
      </c>
      <c r="E8" s="267">
        <v>2.2195200000000002</v>
      </c>
      <c r="F8" s="267">
        <f>0.13911/1000</f>
        <v>1.3911000000000001E-4</v>
      </c>
      <c r="G8" s="267">
        <f>E8+D8*8760*F8</f>
        <v>3.267519096</v>
      </c>
      <c r="H8" s="176" t="s">
        <v>375</v>
      </c>
    </row>
    <row r="9" spans="1:8" x14ac:dyDescent="0.25">
      <c r="A9" s="52" t="s">
        <v>267</v>
      </c>
      <c r="B9" s="52" t="s">
        <v>57</v>
      </c>
      <c r="C9" s="52" t="s">
        <v>254</v>
      </c>
      <c r="D9" s="208"/>
      <c r="E9" s="613"/>
      <c r="F9" s="613"/>
      <c r="G9" s="614"/>
      <c r="H9" s="52" t="s">
        <v>253</v>
      </c>
    </row>
    <row r="10" spans="1:8" x14ac:dyDescent="0.25">
      <c r="E10" s="266"/>
      <c r="F10" s="265" t="s">
        <v>252</v>
      </c>
      <c r="G10" s="264">
        <f>SUM(G6:G9)</f>
        <v>5.9414490959999995</v>
      </c>
    </row>
    <row r="11" spans="1:8" x14ac:dyDescent="0.25">
      <c r="A11" s="262" t="s">
        <v>251</v>
      </c>
      <c r="E11" s="271"/>
      <c r="F11" s="271"/>
      <c r="G11" s="271"/>
    </row>
    <row r="12" spans="1:8" x14ac:dyDescent="0.25">
      <c r="E12" s="271"/>
      <c r="F12" s="272"/>
      <c r="G12" s="271"/>
    </row>
    <row r="13" spans="1:8" x14ac:dyDescent="0.25">
      <c r="A13" s="33" t="s">
        <v>266</v>
      </c>
      <c r="E13" s="271"/>
      <c r="F13" s="271"/>
      <c r="G13" s="271"/>
    </row>
    <row r="14" spans="1:8" x14ac:dyDescent="0.25">
      <c r="E14" s="271"/>
      <c r="F14" s="271"/>
      <c r="G14" s="271"/>
    </row>
    <row r="15" spans="1:8" s="229" customFormat="1" ht="45" x14ac:dyDescent="0.25">
      <c r="A15" s="471" t="s">
        <v>68</v>
      </c>
      <c r="B15" s="471" t="s">
        <v>66</v>
      </c>
      <c r="C15" s="471" t="s">
        <v>265</v>
      </c>
      <c r="D15" s="471" t="s">
        <v>264</v>
      </c>
      <c r="E15" s="471" t="s">
        <v>263</v>
      </c>
      <c r="F15" s="472" t="s">
        <v>262</v>
      </c>
      <c r="G15" s="472" t="s">
        <v>261</v>
      </c>
      <c r="H15" s="470" t="s">
        <v>260</v>
      </c>
    </row>
    <row r="16" spans="1:8" x14ac:dyDescent="0.25">
      <c r="A16" s="52" t="s">
        <v>73</v>
      </c>
      <c r="B16" s="52" t="s">
        <v>69</v>
      </c>
      <c r="C16" s="52" t="s">
        <v>259</v>
      </c>
      <c r="D16" s="208"/>
      <c r="E16" s="270"/>
      <c r="F16" s="270"/>
      <c r="G16" s="269"/>
      <c r="H16" s="52" t="s">
        <v>81</v>
      </c>
    </row>
    <row r="17" spans="1:8" x14ac:dyDescent="0.25">
      <c r="A17" s="176" t="s">
        <v>258</v>
      </c>
      <c r="B17" s="176" t="s">
        <v>57</v>
      </c>
      <c r="C17" s="176" t="s">
        <v>257</v>
      </c>
      <c r="D17" s="268">
        <f>$D$8</f>
        <v>0.86</v>
      </c>
      <c r="E17" s="267">
        <v>2.7561599999999999</v>
      </c>
      <c r="F17" s="267"/>
      <c r="G17" s="267">
        <f>E17+D17*8760*F17</f>
        <v>2.7561599999999999</v>
      </c>
      <c r="H17" s="176" t="s">
        <v>256</v>
      </c>
    </row>
    <row r="18" spans="1:8" x14ac:dyDescent="0.25">
      <c r="A18" s="176" t="s">
        <v>255</v>
      </c>
      <c r="B18" s="176" t="s">
        <v>69</v>
      </c>
      <c r="C18" s="176" t="s">
        <v>257</v>
      </c>
      <c r="D18" s="268">
        <f>$D$8</f>
        <v>0.86</v>
      </c>
      <c r="E18" s="267">
        <v>1.5367200000000001</v>
      </c>
      <c r="F18" s="267">
        <f>0.13016/1000</f>
        <v>1.3015999999999999E-4</v>
      </c>
      <c r="G18" s="267">
        <f>E18+D18*8760*F18</f>
        <v>2.517293376</v>
      </c>
      <c r="H18" s="176" t="s">
        <v>256</v>
      </c>
    </row>
    <row r="19" spans="1:8" x14ac:dyDescent="0.25">
      <c r="A19" s="52" t="s">
        <v>255</v>
      </c>
      <c r="B19" s="52" t="s">
        <v>57</v>
      </c>
      <c r="C19" s="52" t="s">
        <v>254</v>
      </c>
      <c r="D19" s="208"/>
      <c r="E19" s="613"/>
      <c r="F19" s="613"/>
      <c r="G19" s="614"/>
      <c r="H19" s="52" t="s">
        <v>253</v>
      </c>
    </row>
    <row r="20" spans="1:8" x14ac:dyDescent="0.25">
      <c r="E20" s="266"/>
      <c r="F20" s="265" t="s">
        <v>252</v>
      </c>
      <c r="G20" s="264">
        <f>SUM(G16:G19)</f>
        <v>5.273453376</v>
      </c>
    </row>
    <row r="21" spans="1:8" x14ac:dyDescent="0.25">
      <c r="A21" s="262" t="s">
        <v>251</v>
      </c>
    </row>
  </sheetData>
  <mergeCells count="2">
    <mergeCell ref="E9:G9"/>
    <mergeCell ref="E19:G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24</vt:i4>
      </vt:variant>
    </vt:vector>
  </HeadingPairs>
  <TitlesOfParts>
    <vt:vector size="44" baseType="lpstr">
      <vt:lpstr>Reference price simulation</vt:lpstr>
      <vt:lpstr>Input&gt;</vt:lpstr>
      <vt:lpstr>Overview</vt:lpstr>
      <vt:lpstr>Calc&gt;Tariffs</vt:lpstr>
      <vt:lpstr>VTPB</vt:lpstr>
      <vt:lpstr>VTPB_NICT</vt:lpstr>
      <vt:lpstr>CAA</vt:lpstr>
      <vt:lpstr>CAA CWD</vt:lpstr>
      <vt:lpstr>Benchmark Murfeld</vt:lpstr>
      <vt:lpstr>Parameters&gt;</vt:lpstr>
      <vt:lpstr>Costs</vt:lpstr>
      <vt:lpstr>Costscalc</vt:lpstr>
      <vt:lpstr>Forecasted contracted capacity</vt:lpstr>
      <vt:lpstr>Forecasts</vt:lpstr>
      <vt:lpstr>Reference VO 2017</vt:lpstr>
      <vt:lpstr>Distances</vt:lpstr>
      <vt:lpstr>Calc CWD&gt;</vt:lpstr>
      <vt:lpstr>CWD Weights</vt:lpstr>
      <vt:lpstr>CWD Tariffs</vt:lpstr>
      <vt:lpstr>Capacities ConsultationDoc</vt:lpstr>
      <vt:lpstr>VTPB_NICT!base_tariff_entry_comm</vt:lpstr>
      <vt:lpstr>VTPB_NICT!base_tariff_exit_comm</vt:lpstr>
      <vt:lpstr>benchmark_m</vt:lpstr>
      <vt:lpstr>'CAA CWD'!CAA_forecasted</vt:lpstr>
      <vt:lpstr>CAA_forecasted</vt:lpstr>
      <vt:lpstr>costs_capacity</vt:lpstr>
      <vt:lpstr>VTPB_NICT!costs_commodity</vt:lpstr>
      <vt:lpstr>costs_GCA</vt:lpstr>
      <vt:lpstr>costs_GCA_var</vt:lpstr>
      <vt:lpstr>costs_TAG</vt:lpstr>
      <vt:lpstr>costs_TAG_var</vt:lpstr>
      <vt:lpstr>CWD_DZK</vt:lpstr>
      <vt:lpstr>discount_DZK</vt:lpstr>
      <vt:lpstr>discount_storage_entry</vt:lpstr>
      <vt:lpstr>discount_storage_exit</vt:lpstr>
      <vt:lpstr>EX_split_entry_theor</vt:lpstr>
      <vt:lpstr>VTPB_NICT!EX_split_entry_theor_comm</vt:lpstr>
      <vt:lpstr>GCV</vt:lpstr>
      <vt:lpstr>max_increase</vt:lpstr>
      <vt:lpstr>NIC_distance</vt:lpstr>
      <vt:lpstr>VTPB_NICT!rescaling_entry_comm</vt:lpstr>
      <vt:lpstr>VTPB_NICT!rescaling_exit_comm</vt:lpstr>
      <vt:lpstr>VG_discount</vt:lpstr>
      <vt:lpstr>VG_discount_entry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Markus Krug</cp:lastModifiedBy>
  <cp:lastPrinted>2019-10-21T08:36:33Z</cp:lastPrinted>
  <dcterms:created xsi:type="dcterms:W3CDTF">2018-10-09T15:02:03Z</dcterms:created>
  <dcterms:modified xsi:type="dcterms:W3CDTF">2019-11-07T09:59:05Z</dcterms:modified>
</cp:coreProperties>
</file>