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wecom365.sharepoint.com/sites/PROJEKTE/Shared Documents/TARAT/+2023 TAR CoD/01 Model/08 simplified 21.12.23/"/>
    </mc:Choice>
  </mc:AlternateContent>
  <xr:revisionPtr revIDLastSave="2306" documentId="8_{70007DC0-920C-42A8-9A0E-9A9B706D2910}" xr6:coauthVersionLast="47" xr6:coauthVersionMax="47" xr10:uidLastSave="{1925FEC4-F47E-468E-96CC-611B6E237F78}"/>
  <workbookProtection workbookAlgorithmName="SHA-512" workbookHashValue="t4A/Ah0htgbaRl7faDcwSESN5aUUAOX/FNPcVSeM4asb6tcQa3UMHIZFBQV8WCmgEnuNzFK+TIMzvy9+C02QBA==" workbookSaltValue="vWxnBH4r9cPbNcJe7OQwcw==" workbookSpinCount="100000" lockStructure="1"/>
  <bookViews>
    <workbookView xWindow="-120" yWindow="-120" windowWidth="29040" windowHeight="17520" tabRatio="703" xr2:uid="{00000000-000D-0000-FFFF-FFFF00000000}"/>
  </bookViews>
  <sheets>
    <sheet name="Results" sheetId="68" r:id="rId1"/>
    <sheet name="CWD" sheetId="174" r:id="rId2"/>
    <sheet name="CAA" sheetId="176" state="hidden" r:id="rId3"/>
    <sheet name="Inputs Volumes &amp; Flows" sheetId="154" r:id="rId4"/>
    <sheet name="Distances" sheetId="86" r:id="rId5"/>
  </sheets>
  <definedNames>
    <definedName name="_" hidden="1">#REF!</definedName>
    <definedName name="____as1" hidden="1">{"costo totale",#N/A,FALSE,"Risorse e R&amp;D 5";"costi unitari",#N/A,FALSE,"Risorse e R&amp;D 5";"n° addetti",#N/A,FALSE,"Risorse e R&amp;D 5";#N/A,#N/A,FALSE,"Risorse e R&amp;D 5"}</definedName>
    <definedName name="____AVP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__avp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__avp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__b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__cc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___cc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___tu7" hidden="1">{"sales",#N/A,FALSE,"Sales";"sales existing",#N/A,FALSE,"Sales";"sales rd1",#N/A,FALSE,"Sales";"sales rd2",#N/A,FALSE,"Sales"}</definedName>
    <definedName name="__123Graph_AAGIPGR" hidden="1">#REF!</definedName>
    <definedName name="__123Graph_ASENS" hidden="1">#REF!</definedName>
    <definedName name="__123Graph_BSENS" hidden="1">#REF!</definedName>
    <definedName name="__123Graph_CSENS" hidden="1">#REF!</definedName>
    <definedName name="__123Graph_LBL_AAGIPGR" hidden="1">#REF!</definedName>
    <definedName name="__123Graph_LBL_ASENS" hidden="1">#REF!</definedName>
    <definedName name="__123Graph_LBL_BSENS" hidden="1">#REF!</definedName>
    <definedName name="__123Graph_LBL_CSENS" hidden="1">#REF!</definedName>
    <definedName name="__123Graph_XAGIPGR" hidden="1">#REF!</definedName>
    <definedName name="__123Graph_XSENS" hidden="1">#REF!</definedName>
    <definedName name="__as1" hidden="1">{"costo totale",#N/A,FALSE,"Risorse e R&amp;D 5";"costi unitari",#N/A,FALSE,"Risorse e R&amp;D 5";"n° addetti",#N/A,FALSE,"Risorse e R&amp;D 5";#N/A,#N/A,FALSE,"Risorse e R&amp;D 5"}</definedName>
    <definedName name="__AVP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avp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avp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b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_c" hidden="1">{#N/A,#N/A,FALSE,"Layout Cash Flow"}</definedName>
    <definedName name="__cc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__FDS_HYPERLINK_TOGGLE_STATE__" hidden="1">"ON"</definedName>
    <definedName name="__re34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__tu7" hidden="1">{"sales",#N/A,FALSE,"Sales";"sales existing",#N/A,FALSE,"Sales";"sales rd1",#N/A,FALSE,"Sales";"sales rd2",#N/A,FALSE,"Sales"}</definedName>
    <definedName name="_1__123Graph_ACHART_1" hidden="1">#REF!</definedName>
    <definedName name="_16__123Graph_ACHART_1" hidden="1">#REF!</definedName>
    <definedName name="_17__123Graph_BCHART_1" hidden="1">#REF!</definedName>
    <definedName name="_18__123Graph_CCHART_1" hidden="1">#REF!</definedName>
    <definedName name="_19__123Graph_LBL_ACHART_1" hidden="1">#REF!</definedName>
    <definedName name="_2__123Graph_ACHART_1" hidden="1">#REF!</definedName>
    <definedName name="_2__123Graph_BCHART_1" hidden="1">#REF!</definedName>
    <definedName name="_20__123Graph_LBL_BCHART_1" hidden="1">#REF!</definedName>
    <definedName name="_21__123Graph_LBL_CCHART_1" hidden="1">#REF!</definedName>
    <definedName name="_3__123Graph_BCHART_1" hidden="1">#REF!</definedName>
    <definedName name="_3__123Graph_CCHART_1" hidden="1">#REF!</definedName>
    <definedName name="_4__123Graph_CCHART_1" hidden="1">#REF!</definedName>
    <definedName name="_4__123Graph_LBL_ACHART_1" hidden="1">#REF!</definedName>
    <definedName name="_5__123Graph_LBL_ACHART_1" hidden="1">#REF!</definedName>
    <definedName name="_5__123Graph_LBL_BCHART_1" hidden="1">#REF!</definedName>
    <definedName name="_6__123Graph_LBL_BCHART_1" hidden="1">#REF!</definedName>
    <definedName name="_6__123Graph_LBL_CCHART_1" hidden="1">#REF!</definedName>
    <definedName name="_7__123Graph_LBL_CCHART_1" hidden="1">#REF!</definedName>
    <definedName name="_a" hidden="1">#REF!</definedName>
    <definedName name="_as1" hidden="1">{"costo totale",#N/A,FALSE,"Risorse e R&amp;D 5";"costi unitari",#N/A,FALSE,"Risorse e R&amp;D 5";"n° addetti",#N/A,FALSE,"Risorse e R&amp;D 5";#N/A,#N/A,FALSE,"Risorse e R&amp;D 5"}</definedName>
    <definedName name="_AVP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Q4.1" hidden="1">#REF!</definedName>
    <definedName name="_BQ4.10" hidden="1">#REF!</definedName>
    <definedName name="_BQ4.19" hidden="1">#REF!</definedName>
    <definedName name="_BQ4.21" hidden="1">#REF!</definedName>
    <definedName name="_BQ4.22" hidden="1">#REF!</definedName>
    <definedName name="_BQ4.23" hidden="1">#REF!</definedName>
    <definedName name="_BQ4.24" hidden="1">#REF!</definedName>
    <definedName name="_BQ4.25" hidden="1">#REF!</definedName>
    <definedName name="_BQ4.26" hidden="1">#REF!</definedName>
    <definedName name="_BQ4.27" hidden="1">#REF!</definedName>
    <definedName name="_BQ4.29" hidden="1">#REF!</definedName>
    <definedName name="_BQ4.3" hidden="1">#REF!</definedName>
    <definedName name="_BQ4.30" hidden="1">#REF!</definedName>
    <definedName name="_BQ4.31" hidden="1">#REF!</definedName>
    <definedName name="_BQ4.4" hidden="1">#REF!</definedName>
    <definedName name="_BQ4.9" hidden="1">#REF!</definedName>
    <definedName name="_c" hidden="1">{#N/A,#N/A,FALSE,"Layout Cash Flow"}</definedName>
    <definedName name="_cc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_Fill" hidden="1">#REF!</definedName>
    <definedName name="_GSRATES_1" hidden="1">"CT300001Latest          "</definedName>
    <definedName name="_GSRATES_COUNT" hidden="1">1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34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_Regression_Int" hidden="1">1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ar3" hidden="1">{"'777'!$A$1:$H$41"}</definedName>
    <definedName name="aa" hidden="1">{"'WEB azoc prov'!$B$85:$L$123"}</definedName>
    <definedName name="aaa" hidden="1">{"mult96",#N/A,FALSE,"PETCOMP";"est96",#N/A,FALSE,"PETCOMP";"mult95",#N/A,FALSE,"PETCOMP";"est95",#N/A,FALSE,"PETCOMP";"multltm",#N/A,FALSE,"PETCOMP";"resultltm",#N/A,FALSE,"PETCOMP"}</definedName>
    <definedName name="AAA_DOCTOPS" hidden="1">"AAA_SET"</definedName>
    <definedName name="AAA_duser" hidden="1">"OFF"</definedName>
    <definedName name="aaaa" hidden="1">{"'WEB azoc prov'!$B$85:$L$123"}</definedName>
    <definedName name="aaaaa" hidden="1">{"'WEB azoc prov'!$B$85:$L$123"}</definedName>
    <definedName name="aaaaaa" hidden="1">{"'WEB azoc prov'!$B$85:$L$123"}</definedName>
    <definedName name="AAAAAAAAAAAAAAAAA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hidden="1">{"'WEB azoc prov'!$B$85:$L$123"}</definedName>
    <definedName name="abb" hidden="1">{"'WEB azoc prov'!$B$85:$L$123"}</definedName>
    <definedName name="abc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d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abe" hidden="1">{"GuVGmbH",#N/A,FALSE,"ratios";"BilanzGmbH",#N/A,FALSE,"ratios";"BilanzKG",#N/A,FALSE,"ratios";"GuVKG",#N/A,FALSE,"ratios"}</definedName>
    <definedName name="ac" hidden="1">{"'WEB azoc prov'!$B$85:$L$123"}</definedName>
    <definedName name="acc" hidden="1">{"'WEB azoc prov'!$B$85:$L$123"}</definedName>
    <definedName name="AccessDatabase" hidden="1">"W:\USERS\AFC\RPT_98\INV_98\Cartel1.mdb"</definedName>
    <definedName name="adfgdzf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adfhzdf" hidden="1">{"sales",#N/A,FALSE,"Sales";"sales existing",#N/A,FALSE,"Sales";"sales rd1",#N/A,FALSE,"Sales";"sales rd2",#N/A,FALSE,"Sales"}</definedName>
    <definedName name="adrharh" hidden="1">{"WACC",#N/A,FALSE,"Bewertung D&amp;Co";"DCF",#N/A,FALSE,"Bewertung D&amp;Co";"Wert",#N/A,FALSE,"Bewertung D&amp;Co";"Investitionen",#N/A,FALSE,"Cash D&amp;Co";"EBIT",#N/A,FALSE,"Cash D&amp;Co";"Cash Flow",#N/A,FALSE,"Cash D&amp;Co";"FCF",#N/A,FALSE,"Cash D&amp;Co";"EBIT Multiplier",#N/A,FALSE,"EBIT-Multiplier";"Branchen Beta",#N/A,FALSE,"Branchen-Beta";"Dax Rendite",#N/A,FALSE,"DAX-Rendite";"Bu Rendite",#N/A,FALSE,"Bu-Anl-Rendite"}</definedName>
    <definedName name="aerhaerhaerh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agag" hidden="1">{"adj95mult",#N/A,FALSE,"COMPCO";"adj95est",#N/A,FALSE,"COMPCO"}</definedName>
    <definedName name="anscount" hidden="1">1</definedName>
    <definedName name="are" hidden="1">{"Aktiva_Gittelde",#N/A,TRUE,"Bilanz-Gittelde";"Liabilities_gittelde",#N/A,TRUE,"Bilanz-Gittelde";"GuV_Gittelde",#N/A,TRUE,"GuV-Gittelde";"Aktiva Dresden",#N/A,TRUE,"Bilanz-Dresden";"Passiva Dresden",#N/A,TRUE,"Bilanz-Dresden";"guv Dresden",#N/A,TRUE,"Guv-Dresden";"FPC_Aktiva_hist",#N/A,TRUE,"Bilanz-FPC-D&amp;Co";"FPC_Passiva_hist",#N/A,TRUE,"Bilanz-FPC-D&amp;Co";"FPC_Aktiva_Plan",#N/A,TRUE,"Bilanz-FPC-D&amp;Co";"FPC_Passiva_Plan",#N/A,TRUE,"Bilanz-FPC-D&amp;Co";"FPC_GuV_hist",#N/A,TRUE,"GuV-FPC";"FPC_GuV_Plan",#N/A,TRUE,"GuV-FPC"}</definedName>
    <definedName name="as" hidden="1">{"costo totale",#N/A,FALSE,"Risorse e R&amp;D 5";"costi unitari",#N/A,FALSE,"Risorse e R&amp;D 5";"n° addetti",#N/A,FALSE,"Risorse e R&amp;D 5";#N/A,#N/A,FALSE,"Risorse e R&amp;D 5"}</definedName>
    <definedName name="AS2DocOpenMode" hidden="1">"AS2DocumentEdit"</definedName>
    <definedName name="ASaQSS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asd" hidden="1">{"vi1",#N/A,FALSE,"Financial Statements";"vi2",#N/A,FALSE,"Financial Statements";#N/A,#N/A,FALSE,"DCF"}</definedName>
    <definedName name="asghx" hidden="1">{"DCF","UPSIDE CASE",FALSE,"Sheet1";"DCF","BASE CASE",FALSE,"Sheet1";"DCF","DOWNSIDE CASE",FALSE,"Sheet1"}</definedName>
    <definedName name="Assumptions" hidden="1">{"Area1",#N/A,FALSE,"OREWACC";"Area2",#N/A,FALSE,"OREWACC"}</definedName>
    <definedName name="ATS" hidden="1">13.7603</definedName>
    <definedName name="AV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awaeqw" hidden="1">{"'WEB azoc prov'!$B$85:$L$123"}</definedName>
    <definedName name="B" hidden="1">{"'WEB azoc prov'!$B$85:$L$123"}</definedName>
    <definedName name="B.2" hidden="1">{"'WEB azoc prov'!$B$85:$L$123"}</definedName>
    <definedName name="bb" hidden="1">{"'WEB azoc prov'!$B$85:$L$123"}</definedName>
    <definedName name="bbb" hidden="1">{"'WEB azoc prov'!$B$85:$L$123"}</definedName>
    <definedName name="belnew" hidden="1">{"IS",#N/A,FALSE,"IS";"RPTIS",#N/A,FALSE,"RPTIS";"STATS",#N/A,FALSE,"STATS";"CELL",#N/A,FALSE,"CELL";"BS",#N/A,FALSE,"BS"}</definedName>
    <definedName name="belnew2" hidden="1">{"IS",#N/A,FALSE,"IS";"RPTIS",#N/A,FALSE,"RPTIS";"STATS",#N/A,FALSE,"STATS";"CELL",#N/A,FALSE,"CELL";"BS",#N/A,FALSE,"BS"}</definedName>
    <definedName name="benchmarkg" hidden="1">{"test2",#N/A,TRUE,"Prices"}</definedName>
    <definedName name="bhhhh" hidden="1">{"'WEB azoc prov'!$B$85:$L$123"}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cas" hidden="1">{"ProspettoImposte",#N/A,FALSE,"Prospetto imposte"}</definedName>
    <definedName name="CASH" hidden="1">{"ProspettoImposte",#N/A,FALSE,"Prospetto imposte"}</definedName>
    <definedName name="CashFlow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CashFlow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c" hidden="1">{"'WEB azoc prov'!$B$85:$L$123"}</definedName>
    <definedName name="ccc" hidden="1">{"mult96",#N/A,FALSE,"PETCOMP";"est96",#N/A,FALSE,"PETCOMP";"mult95",#N/A,FALSE,"PETCOMP";"est95",#N/A,FALSE,"PETCOMP";"multltm",#N/A,FALSE,"PETCOMP";"resultltm",#N/A,FALSE,"PETCOMP"}</definedName>
    <definedName name="cccccccccccccc" hidden="1">#REF!</definedName>
    <definedName name="cde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Cellular_Sub" hidden="1">{"Outputs",#N/A,TRUE,"North America";"Outputs",#N/A,TRUE,"Europe";"Outputs",#N/A,TRUE,"Asia Pacific";"Outputs",#N/A,TRUE,"Latin America";"Outputs",#N/A,TRUE,"Wireless"}</definedName>
    <definedName name="ChangeRange" hidden="1">#REF!</definedName>
    <definedName name="Compco1" hidden="1">{"Page1",#N/A,FALSE,"CompCo";"Page2",#N/A,FALSE,"CompCo"}</definedName>
    <definedName name="Compco2" hidden="1">{"Page1",#N/A,FALSE,"CompCo";"Page2",#N/A,FALSE,"CompCo"}</definedName>
    <definedName name="confornto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ContentsHelp" hidden="1">#REF!</definedName>
    <definedName name="CreateTable" hidden="1">#REF!</definedName>
    <definedName name="Cwvu.GREY_ALL." hidden="1">#REF!</definedName>
    <definedName name="d" hidden="1">{"'WEB azoc prov'!$B$85:$L$123"}</definedName>
    <definedName name="dd" hidden="1">{"'WEB azoc prov'!$B$85:$L$123"}</definedName>
    <definedName name="ddd" hidden="1">{"'WEB azoc prov'!$B$85:$L$123"}</definedName>
    <definedName name="ddddp" hidden="1">{"'WEB azoc prov'!$B$85:$L$123"}</definedName>
    <definedName name="delete11" hidden="1">{"Page1",#N/A,FALSE,"CompCo";"Page2",#N/A,FALSE,"CompCo"}</definedName>
    <definedName name="delete20" hidden="1">{"Page1",#N/A,FALSE,"CompCo";"Page2",#N/A,FALSE,"CompCo"}</definedName>
    <definedName name="delete5" hidden="1">{"Page1",#N/A,FALSE,"CompCo";"Page2",#N/A,FALSE,"CompCo"}</definedName>
    <definedName name="DeleteRange" hidden="1">#REF!</definedName>
    <definedName name="DeleteTable" hidden="1">#REF!</definedName>
    <definedName name="dfgxc" hidden="1">{"targetdcf",#N/A,FALSE,"Merger consequences";"TARGETASSU",#N/A,FALSE,"Merger consequences";"TERMINAL VALUE",#N/A,FALSE,"Merger consequences"}</definedName>
    <definedName name="dfgxcv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dfhd" hidden="1">{"vi1",#N/A,FALSE,"Financial Statements";"vi2",#N/A,FALSE,"Financial Statements";#N/A,#N/A,FALSE,"DCF"}</definedName>
    <definedName name="dfsSF" hidden="1">{"'WEB azoc prov'!$B$85:$L$123"}</definedName>
    <definedName name="dft" hidden="1">{"EVA",#N/A,FALSE,"EVA";"WACC",#N/A,FALSE,"WACC"}</definedName>
    <definedName name="dfxc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dgj" hidden="1">{"EVA",#N/A,FALSE,"EVA";"WACC",#N/A,FALSE,"WACC"}</definedName>
    <definedName name="dgxcv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dhgkghkds" hidden="1">{"DCF1",#N/A,FALSE,"SIERRA DCF";"MATRIX1",#N/A,FALSE,"SIERRA DCF"}</definedName>
    <definedName name="drak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ee" hidden="1">{"Budgetvergleich",#N/A,TRUE,"KSTGES.XLS";"Budgetvergleich",#N/A,TRUE,"KST10.XLS";"Budgetvergleich",#N/A,TRUE,"KST11.XLS";"Budgetvergleich",#N/A,TRUE,"KST12.XLS";"Budgetvergleich",#N/A,TRUE,"KST15.XLS";"Budgetvergleich",#N/A,TRUE,"KST20.XLS";"Budgetvergleich",#N/A,TRUE,"KST25.XLS";"Budgetvergleich",#N/A,TRUE,"KST30.XLS";"Budgetvergleich",#N/A,TRUE,"KST40.XLS";"Budgetvergleich",#N/A,TRUE,"KST41.XLS";"Budgetvergleich",#N/A,TRUE,"KST45.XLS";"Budgetvergleich",#N/A,TRUE,"KST50.XLS";"Budgetvergleich",#N/A,TRUE,"KST60.XLS";"Budgetvergleich",#N/A,TRUE,"KST61.XLS";"Budgetvergleich",#N/A,TRUE,"KST65.XLS";"Budgetvergleich",#N/A,TRUE,"KST70.XLS";"Budgetvergleich",#N/A,TRUE,"KST80.XLS";"Budgetvergleich",#N/A,TRUE,"KST90.XLS"}</definedName>
    <definedName name="eee" hidden="1">{"Graphic",#N/A,TRUE,"Graphic"}</definedName>
    <definedName name="EFqef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EPMWorkbookOptions_1" hidden="1">"TS0AAB+LCAAAAAAABADtml1vokwUx+832e9gvEdAXtSGumFRWndVCGC7u01DBhmVrALPgLX99s+AolKwa5tuoyxJL8jMOWcOP/5zTpERvjwu5pUHiALHcy+rdI2qVqA79mzHnV5Wl+GEoPnql/bnT8Kth35bnvdb8UNsGlSwnxtcPAbOZXUWhv4FSa5Wq9qKqXloStYpiiZ/DPr6eAYXgHDcIATuGFa3Xvafvap41UpFkDzXheNoTcOTlghB"</definedName>
    <definedName name="EPMWorkbookOptions_2" hidden="1">"eHCVOHPuK0DAxkrtI7CA69W2KxG4CJfYS5YaRxDrGE4hzTeBLC2IadtdfWh/09XRrcDbd5ugCIRO6FYBC1YRS8BstnDmrIfIRYsXW7GXc8IJd2/fWcp3WzcseqX7ACHKH72cAj+C9zIXV7OrTQlD35uADI8H15jmyGfJmDdbb6dFPFt7zdmOxgr3oqvnuS5EV94Coiip9GXorsooh6Eocx6stjnUwA9wm+AllLkCx2uhyS4KIvd2twmkuiDw"</definedName>
    <definedName name="EPMWorkbookOptions_3" hidden="1">"kXTBQ4A9QutKbsU6eM93QHzXwxHJFFDsf5ZoW+XLBB2KyuLGyPu1hMnOFVXVxiNL5oqcr+VYM067u84LYkvIJCi6F0mshl2I27zMrS8Ks0ehD550HIQQk6e2UG/Up9CZVusNV6pKtemXaqsOYZUHsCa5TlNqOmK8cj6qIPEARMSEPm106A7hwqHzqgCWF2UhgELW8Rma7jYk3rN3umJ0RlZPoJfaja1ZPVvT7f5IpS28F/ZC+p4HMcCT+dMO"</definedName>
    <definedName name="EPMWorkbookOptions_4" hidden="1">"WqFT8gJ5/iUT64d51kiv3+HDYmXu9Y3L3CEMZkTw1wSraqZlq5TkjnG8aHleavH84ZoVyqfZDI953fbMzj/0QXSWbHGZx0h2bFB21X+P1qso1uuSJB2u11oJ9bohkSqU/g3O8iwu8wh5dgfa7dHSbDQFvtVqHi5NsXzSjAnMz9CubWmWMjh1jb4dId8VRT91Nj5Ox+qG1u2/xVtQoyGKf/AaJJWvd3NU5jXb4Hn+1DX7F2jR1Xi4nToxH6qZ"</definedName>
    <definedName name="EPMWorkbookOptions_5" hidden="1">"rzvqe36B10vZxjGJeaWONPodc31WamGZRyjVpONAMfraO0q1UT6ppiyuP2S+6XaNFxp2f6SPT36ovg0lXdW07Jqt6LpxJmRLiHCWyI4RRbXGp/959XEmu9Ufdt5xqjfLN9VjBvNvH/FYZ//XPwPscxJbysHJx+ndYUcxx0bHfMf+bZWvf1MW188XvUMfNVf984/MfwTKVVMMkrmiUwc5awqn2faPZmSN+8c5ZANOMYzmGtJCiNL/2OeNCU71"</definedName>
    <definedName name="EPMWorkbookOptions_6" hidden="1">"IcBxUg2Z4AGmyOfmBJueW6HaJAmNKXrfkcev3M1dk/vRDcAecHw4hHi2y7Bn//xpl3ZzTqb9HypYZa1iIwAA"</definedName>
    <definedName name="EPMWorkbookOptions_7" hidden="1">"HI4cX7x5+fvv7ex++vsfv3z56kcksTKz9yOCdJXI/x8I8v8ea/fm7IvTH6Kle/Aeli7LH04ePtx/uD2bTO5t79/fPdienD/ItrNPZ/cmD+/d39s7n/2/wNKBgqFDBkU2/v9FUvGbpMne7o9o0qPJ/R/RpCc7+z+iSY8m/z/hk//32L0vTo9ff/Xq9PUP0fYdvIft+/9IlGeoKA7ay1Py1Z6e/SgX8V6NAmzijR7fPV6tymKatQTHfh58apoT"</definedName>
    <definedName name="EPMWorkbookOptions_8" hidden="1">"tGq5JMTps6dZm/HH/odvqu7gH7/Kz+u8mX+5/HKVL4/Os7LJH98NP+R2J2We1QD65fJ1dpmblt2Pue13q/rtpKreEm+2TEbTuv9F2P5qprP2+Kz5yawuskmZf5HXFw5C7/PfOHFgv1wJNf4fMtZNwbo0AAA="</definedName>
    <definedName name="erer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ererer3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erererer" hidden="1">{"Aktiva_Gittelde",#N/A,TRUE,"Bilanz-Gittelde";"Liabilities_gittelde",#N/A,TRUE,"Bilanz-Gittelde";"GuV_Gittelde",#N/A,TRUE,"GuV-Gittelde";"Aktiva Dresden",#N/A,TRUE,"Bilanz-Dresden";"Passiva Dresden",#N/A,TRUE,"Bilanz-Dresden";"guv Dresden",#N/A,TRUE,"Guv-Dresden";"FPC_Aktiva_hist",#N/A,TRUE,"Bilanz-FPC-D&amp;Co";"FPC_Passiva_hist",#N/A,TRUE,"Bilanz-FPC-D&amp;Co";"FPC_Aktiva_Plan",#N/A,TRUE,"Bilanz-FPC-D&amp;Co";"FPC_Passiva_Plan",#N/A,TRUE,"Bilanz-FPC-D&amp;Co";"FPC_GuV_hist",#N/A,TRUE,"GuV-FPC";"FPC_GuV_Plan",#N/A,TRUE,"GuV-FPC"}</definedName>
    <definedName name="esr" hidden="1">{"qchm_dcf",#N/A,FALSE,"QCHMDCF2";"qchm_terminal",#N/A,FALSE,"QCHMDCF2"}</definedName>
    <definedName name="est" hidden="1">{"EVA",#N/A,FALSE,"EVA";"WACC",#N/A,FALSE,"WACC"}</definedName>
    <definedName name="ety" hidden="1">{"Acq_matrix",#N/A,FALSE,"Acquisition Matrix"}</definedName>
    <definedName name="etyufg" hidden="1">{"mult96",#N/A,FALSE,"PETCOMP";"est96",#N/A,FALSE,"PETCOMP";"mult95",#N/A,FALSE,"PETCOMP";"est95",#N/A,FALSE,"PETCOMP";"multltm",#N/A,FALSE,"PETCOMP";"resultltm",#N/A,FALSE,"PETCOMP"}</definedName>
    <definedName name="EUR" hidden="1">1</definedName>
    <definedName name="ev.Calculation" hidden="1">-4135</definedName>
    <definedName name="ev.Initialized" hidden="1">FALSE</definedName>
    <definedName name="EV__LASTREFTIME__" hidden="1">39295.7656944444</definedName>
    <definedName name="EV__MAXEXPCOLS__" hidden="1">100</definedName>
    <definedName name="EV__MAXEXPROWS__" hidden="1">60000</definedName>
    <definedName name="EV__WBEVMODE__" hidden="1">1</definedName>
    <definedName name="EV__WBREFOPTIONS__" hidden="1">134217740</definedName>
    <definedName name="EV__WBVERSION__" hidden="1">0</definedName>
    <definedName name="eytv" hidden="1">{"AQUIRORDCF",#N/A,FALSE,"Merger consequences";"Acquirorassns",#N/A,FALSE,"Merger consequences"}</definedName>
    <definedName name="f" hidden="1">{"'WEB azoc prov'!$B$85:$L$123"}</definedName>
    <definedName name="fd" hidden="1">{"vi1",#N/A,FALSE,"Financial Statements";"vi2",#N/A,FALSE,"Financial Statements";#N/A,#N/A,FALSE,"DCF"}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2_0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1" hidden="1">"#"</definedName>
    <definedName name="FDC_58_12" hidden="1">"#"</definedName>
    <definedName name="FDC_58_13" hidden="1">"#"</definedName>
    <definedName name="FDC_58_14" hidden="1">"#"</definedName>
    <definedName name="FDC_58_2" hidden="1">"#"</definedName>
    <definedName name="FDC_58_3" hidden="1">"#"</definedName>
    <definedName name="FDC_58_4" hidden="1">"#"</definedName>
    <definedName name="FDC_58_5" hidden="1">"#"</definedName>
    <definedName name="FDC_58_6" hidden="1">"#"</definedName>
    <definedName name="FDC_58_7" hidden="1">"#"</definedName>
    <definedName name="FDC_58_8" hidden="1">"#"</definedName>
    <definedName name="FDC_58_9" hidden="1">"#"</definedName>
    <definedName name="FDC_59_0" hidden="1">"#"</definedName>
    <definedName name="FDC_59_1" hidden="1">"#"</definedName>
    <definedName name="FDC_59_10" hidden="1">"#"</definedName>
    <definedName name="FDC_59_11" hidden="1">"#"</definedName>
    <definedName name="FDC_59_12" hidden="1">"#"</definedName>
    <definedName name="FDC_59_13" hidden="1">"#"</definedName>
    <definedName name="FDC_59_14" hidden="1">"#"</definedName>
    <definedName name="FDC_59_2" hidden="1">"#"</definedName>
    <definedName name="FDC_59_3" hidden="1">"#"</definedName>
    <definedName name="FDC_59_4" hidden="1">"#"</definedName>
    <definedName name="FDC_59_5" hidden="1">"#"</definedName>
    <definedName name="FDC_59_6" hidden="1">"#"</definedName>
    <definedName name="FDC_59_7" hidden="1">"#"</definedName>
    <definedName name="FDC_59_8" hidden="1">"#"</definedName>
    <definedName name="FDC_59_9" hidden="1">"#"</definedName>
    <definedName name="FDC_6_0" hidden="1">"#"</definedName>
    <definedName name="FDC_60_0" hidden="1">"#"</definedName>
    <definedName name="FDC_60_1" hidden="1">"#"</definedName>
    <definedName name="FDC_60_10" hidden="1">"#"</definedName>
    <definedName name="FDC_60_11" hidden="1">"#"</definedName>
    <definedName name="FDC_60_12" hidden="1">"#"</definedName>
    <definedName name="FDC_60_13" hidden="1">"#"</definedName>
    <definedName name="FDC_60_14" hidden="1">"#"</definedName>
    <definedName name="FDC_60_2" hidden="1">"#"</definedName>
    <definedName name="FDC_60_3" hidden="1">"#"</definedName>
    <definedName name="FDC_60_4" hidden="1">"#"</definedName>
    <definedName name="FDC_60_5" hidden="1">"#"</definedName>
    <definedName name="FDC_60_6" hidden="1">"#"</definedName>
    <definedName name="FDC_60_7" hidden="1">"#"</definedName>
    <definedName name="FDC_60_8" hidden="1">"#"</definedName>
    <definedName name="FDC_60_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1" hidden="1">"#"</definedName>
    <definedName name="FDC_62_12" hidden="1">"#"</definedName>
    <definedName name="FDC_62_13" hidden="1">"#"</definedName>
    <definedName name="FDC_62_14" hidden="1">"#"</definedName>
    <definedName name="FDC_62_2" hidden="1">"#"</definedName>
    <definedName name="FDC_62_3" hidden="1">"#"</definedName>
    <definedName name="FDC_62_4" hidden="1">"#"</definedName>
    <definedName name="FDC_62_5" hidden="1">"#"</definedName>
    <definedName name="FDC_62_6" hidden="1">"#"</definedName>
    <definedName name="FDC_62_7" hidden="1">"#"</definedName>
    <definedName name="FDC_62_8" hidden="1">"#"</definedName>
    <definedName name="FDC_62_9" hidden="1">"#"</definedName>
    <definedName name="FDC_63_0" hidden="1">"#"</definedName>
    <definedName name="FDC_63_1" hidden="1">"#"</definedName>
    <definedName name="FDC_63_10" hidden="1">"#"</definedName>
    <definedName name="FDC_63_11" hidden="1">"#"</definedName>
    <definedName name="FDC_63_12" hidden="1">"#"</definedName>
    <definedName name="FDC_63_13" hidden="1">"#"</definedName>
    <definedName name="FDC_63_14" hidden="1">"#"</definedName>
    <definedName name="FDC_63_2" hidden="1">"#"</definedName>
    <definedName name="FDC_63_3" hidden="1">"#"</definedName>
    <definedName name="FDC_63_4" hidden="1">"#"</definedName>
    <definedName name="FDC_63_5" hidden="1">"#"</definedName>
    <definedName name="FDC_63_6" hidden="1">"#"</definedName>
    <definedName name="FDC_63_7" hidden="1">"#"</definedName>
    <definedName name="FDC_63_8" hidden="1">"#"</definedName>
    <definedName name="FDC_63_9" hidden="1">"#"</definedName>
    <definedName name="FDC_64_0" hidden="1">"#"</definedName>
    <definedName name="FDC_64_1" hidden="1">"#"</definedName>
    <definedName name="FDC_64_10" hidden="1">"#"</definedName>
    <definedName name="FDC_64_11" hidden="1">"#"</definedName>
    <definedName name="FDC_64_12" hidden="1">"#"</definedName>
    <definedName name="FDC_64_13" hidden="1">"#"</definedName>
    <definedName name="FDC_64_14" hidden="1">"#"</definedName>
    <definedName name="FDC_64_2" hidden="1">"#"</definedName>
    <definedName name="FDC_64_3" hidden="1">"#"</definedName>
    <definedName name="FDC_64_4" hidden="1">"#"</definedName>
    <definedName name="FDC_64_5" hidden="1">"#"</definedName>
    <definedName name="FDC_64_6" hidden="1">"#"</definedName>
    <definedName name="FDC_64_7" hidden="1">"#"</definedName>
    <definedName name="FDC_64_8" hidden="1">"#"</definedName>
    <definedName name="FDC_64_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hgfj" hidden="1">{"adj95mult",#N/A,FALSE,"COMPCO";"adj95est",#N/A,FALSE,"COMPCO"}</definedName>
    <definedName name="FF" hidden="1">{"ProspettoImposte",#N/A,FALSE,"Prospetto imposte"}</definedName>
    <definedName name="ffefe" hidden="1">{"adj95mult",#N/A,FALSE,"COMPCO";"adj95est",#N/A,FALSE,"COMPCO"}</definedName>
    <definedName name="fg" hidden="1">{"sales",#N/A,FALSE,"Sales";"sales existing",#N/A,FALSE,"Sales";"sales rd1",#N/A,FALSE,"Sales";"sales rd2",#N/A,FALSE,"Sales"}</definedName>
    <definedName name="fkjfdh" hidden="1">{"mult96",#N/A,FALSE,"PETCOMP";"est96",#N/A,FALSE,"PETCOMP";"mult95",#N/A,FALSE,"PETCOMP";"est95",#N/A,FALSE,"PETCOMP";"multltm",#N/A,FALSE,"PETCOMP";"resultltm",#N/A,FALSE,"PETCOMP"}</definedName>
    <definedName name="fwwefwef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gb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Generale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gfbngfn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h" hidden="1">{"targetdcf",#N/A,FALSE,"Merger consequences";"TARGETASSU",#N/A,FALSE,"Merger consequences";"TERMINAL VALUE",#N/A,FALSE,"Merger consequences"}</definedName>
    <definedName name="ghdf" hidden="1">{"Acq_matrix",#N/A,FALSE,"Acquisition Matrix"}</definedName>
    <definedName name="ghf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jsf" hidden="1">{"targetdcf",#N/A,FALSE,"Merger consequences";"TARGETASSU",#N/A,FALSE,"Merger consequences";"TERMINAL VALUE",#N/A,FALSE,"Merger consequences"}</definedName>
    <definedName name="Gr_D" hidden="1">{"'WEB azoc prov'!$B$85:$L$123"}</definedName>
    <definedName name="Graphs4" hidden="1">{"vi1",#N/A,FALSE,"Financial Statements";"vi2",#N/A,FALSE,"Financial Statements";#N/A,#N/A,FALSE,"DCF"}</definedName>
    <definedName name="gre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gvbg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hgfy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hgh" hidden="1">{"'WEB azoc prov'!$B$85:$L$123"}</definedName>
    <definedName name="HH" hidden="1">{"ProspettoImposte",#N/A,FALSE,"Prospetto imposte"}</definedName>
    <definedName name="hjhglkfg" hidden="1">{"AQUIRORDCF",#N/A,FALSE,"Merger consequences";"Acquirorassns",#N/A,FALSE,"Merger consequences"}</definedName>
    <definedName name="HTML_CodePage" hidden="1">1252</definedName>
    <definedName name="HTML_Control" hidden="1">{"'777'!$A$1:$H$41"}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" hidden="1">"C:\Documenti\Pagine Web\SYS AZ&amp;OC gen99 def.htm"</definedName>
    <definedName name="HTML_PathFileMac" hidden="1">"Macintosh HD:Desktop Folder:www=Ward Web Wars:777.html"</definedName>
    <definedName name="HTML_Title" hidden="1">""</definedName>
    <definedName name="iei" hidden="1">{"Acq_matrix",#N/A,FALSE,"Acquisition Matrix"}</definedName>
    <definedName name="ik" hidden="1">{"mult96",#N/A,FALSE,"PETCOMP";"est96",#N/A,FALSE,"PETCOMP";"mult95",#N/A,FALSE,"PETCOMP";"est95",#N/A,FALSE,"PETCOMP";"multltm",#N/A,FALSE,"PETCOMP";"resultltm",#N/A,FALSE,"PETCOMP"}</definedName>
    <definedName name="iopy" hidden="1">{"targetdcf",#N/A,FALSE,"Merger consequences";"TARGETASSU",#N/A,FALSE,"Merger consequences";"TERMINAL VALUE",#N/A,FALSE,"Merger consequences"}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40717.9163888889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39199.3865277778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hidden="1">#REF!</definedName>
    <definedName name="jg" localSheetId="2" hidden="1">Main.SAPF4Help()</definedName>
    <definedName name="jg" hidden="1">Main.SAPF4Help()</definedName>
    <definedName name="jhh" hidden="1">{"EVA",#N/A,FALSE,"EVA";"WACC",#N/A,FALSE,"WACC"}</definedName>
    <definedName name="jjj" hidden="1">{"Budgetvergleich",#N/A,TRUE,"KSTGES.XLS";"Budgetvergleich",#N/A,TRUE,"KST10.XLS";"Budgetvergleich",#N/A,TRUE,"KST11.XLS";"Budgetvergleich",#N/A,TRUE,"KST12.XLS";"Budgetvergleich",#N/A,TRUE,"KST15.XLS";"Budgetvergleich",#N/A,TRUE,"KST20.XLS";"Budgetvergleich",#N/A,TRUE,"KST25.XLS";"Budgetvergleich",#N/A,TRUE,"KST30.XLS";"Budgetvergleich",#N/A,TRUE,"KST40.XLS";"Budgetvergleich",#N/A,TRUE,"KST41.XLS";"Budgetvergleich",#N/A,TRUE,"KST45.XLS";"Budgetvergleich",#N/A,TRUE,"KST50.XLS";"Budgetvergleich",#N/A,TRUE,"KST60.XLS";"Budgetvergleich",#N/A,TRUE,"KST61.XLS";"Budgetvergleich",#N/A,TRUE,"KST65.XLS";"Budgetvergleich",#N/A,TRUE,"KST70.XLS";"Budgetvergleich",#N/A,TRUE,"KST80.XLS";"Budgetvergleich",#N/A,TRUE,"KST90.XLS"}</definedName>
    <definedName name="jjjjjj" hidden="1">{"Budget9596",#N/A,TRUE,"KSTGES.XLS";"Budget9596",#N/A,TRUE,"KST10.XLS";"Budget9596",#N/A,TRUE,"KST11.XLS";"Budget9596",#N/A,TRUE,"KST12.XLS";"Budget9596",#N/A,TRUE,"KST15.XLS";"Budget9596",#N/A,TRUE,"KST20.XLS";"Budget9596",#N/A,TRUE,"KST25.XLS";"Budget9596",#N/A,TRUE,"KST30.XLS";"Budget9596",#N/A,TRUE,"KST40.XLS";"Budget9596",#N/A,TRUE,"KST41.XLS";"Budget9596",#N/A,TRUE,"KST45.XLS";"Budget9596",#N/A,TRUE,"KST50.XLS";"Budget9596",#N/A,TRUE,"KST60.XLS";"Budget9596",#N/A,TRUE,"KST61.XLS";"Budget9596",#N/A,TRUE,"KST65.XLS";"Budget9596",#N/A,TRUE,"KST70.XLS";"Budget9596",#N/A,TRUE,"KST80.XLS";"Budget9596",#N/A,TRUE,"KST90.XLS"}</definedName>
    <definedName name="jkj" hidden="1">{"mult96",#N/A,FALSE,"PETCOMP";"est96",#N/A,FALSE,"PETCOMP";"mult95",#N/A,FALSE,"PETCOMP";"est95",#N/A,FALSE,"PETCOMP";"multltm",#N/A,FALSE,"PETCOMP";"resultltm",#N/A,FALSE,"PETCOMP"}</definedName>
    <definedName name="jkjkjk" hidden="1">{"GuVGmbH",#N/A,FALSE,"ratios";"BilanzGmbH",#N/A,FALSE,"ratios";"BilanzKG",#N/A,FALSE,"ratios";"GuVKG",#N/A,FALSE,"ratios"}</definedName>
    <definedName name="js" hidden="1">{"DCF1",#N/A,FALSE,"SIERRA DCF";"MATRIX1",#N/A,FALSE,"SIERRA DCF"}</definedName>
    <definedName name="jsgjghk" hidden="1">{"qchm_dcf",#N/A,FALSE,"QCHMDCF2";"qchm_terminal",#N/A,FALSE,"QCHMDCF2"}</definedName>
    <definedName name="jsx" hidden="1">{"DCF","UPSIDE CASE",FALSE,"Sheet1";"DCF","BASE CASE",FALSE,"Sheet1";"DCF","DOWNSIDE CASE",FALSE,"Sheet1"}</definedName>
    <definedName name="k" hidden="1">#REF!</definedName>
    <definedName name="kjlj" hidden="1">{"EVA",#N/A,FALSE,"EVA";"WACC",#N/A,FALSE,"WACC"}</definedName>
    <definedName name="kjy" hidden="1">{"ProspettoImposte",#N/A,FALSE,"Prospetto imposte"}</definedName>
    <definedName name="kurz" hidden="1">#REF!</definedName>
    <definedName name="lea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lfhlhfws" hidden="1">{"'WEB azoc prov'!$B$85:$L$123"}</definedName>
    <definedName name="lhlhl" hidden="1">{"'WEB azoc prov'!$B$85:$L$123"}</definedName>
    <definedName name="lkjlklkjlkjlkj" hidden="1">{"page1",#N/A,TRUE,"CSC";"page2",#N/A,TRUE,"CSC"}</definedName>
    <definedName name="LL" hidden="1">{"'WEB azoc prov'!$B$85:$L$123"}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ooo" hidden="1">{"'WEB azoc prov'!$B$85:$L$123"}</definedName>
    <definedName name="ma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MerrillPrintIt" hidden="1">#REF!</definedName>
    <definedName name="mgpw" hidden="1">"PersonalNeu"</definedName>
    <definedName name="mm" hidden="1">{"adj95mult",#N/A,FALSE,"COMPCO";"adj95est",#N/A,FALSE,"COMPCO"}</definedName>
    <definedName name="mmm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n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neu" hidden="1">#REF!</definedName>
    <definedName name="new" hidden="1">{"Graphic",#N/A,TRUE,"Graphic"}</definedName>
    <definedName name="newbel" hidden="1">{"IS",#N/A,FALSE,"IS";"RPTIS",#N/A,FALSE,"RPTIS";"STATS",#N/A,FALSE,"STATS";"CELL",#N/A,FALSE,"CELL";"BS",#N/A,FALSE,"BS"}</definedName>
    <definedName name="NewRange" hidden="1">#REF!</definedName>
    <definedName name="nnn" hidden="1">{"Graphic",#N/A,TRUE,"Graphic"}</definedName>
    <definedName name="nono" hidden="1">{"'WEB azoc prov'!$B$85:$L$123"}</definedName>
    <definedName name="note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noteDEP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oi" hidden="1">{"DCF1",#N/A,FALSE,"SIERRA DCF";"MATRIX1",#N/A,FALSE,"SIERRA DCF"}</definedName>
    <definedName name="old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ne" hidden="1">{"adj95mult",#N/A,FALSE,"COMPCO";"adj95est",#N/A,FALSE,"COMPCO"}</definedName>
    <definedName name="OO" hidden="1">{"'WEB azoc prov'!$B$85:$L$123"}</definedName>
    <definedName name="ool" hidden="1">{"Page1",#N/A,FALSE,"CompCo";"Page2",#N/A,FALSE,"CompCo"}</definedName>
    <definedName name="ooo" hidden="1">{"Graphic",#N/A,TRUE,"Graphic"}</definedName>
    <definedName name="os56rt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page500003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pipp" hidden="1">{"costo totale",#N/A,FALSE,"Risorse e R&amp;D 5";"costi unitari",#N/A,FALSE,"Risorse e R&amp;D 5";"n° addetti",#N/A,FALSE,"Risorse e R&amp;D 5";#N/A,#N/A,FALSE,"Risorse e R&amp;D 5"}</definedName>
    <definedName name="pippo" hidden="1">{"'WEB azoc prov'!$B$85:$L$123"}</definedName>
    <definedName name="poujòpujpòhj" hidden="1">{"'WEB azoc prov'!$B$85:$L$123"}</definedName>
    <definedName name="PP" hidden="1">{"'WEB azoc prov'!$B$85:$L$123"}</definedName>
    <definedName name="ppp" hidden="1">{"DCF","UPSIDE CASE",FALSE,"Sheet1";"DCF","BASE CASE",FALSE,"Sheet1";"DCF","DOWNSIDE CASE",FALSE,"Sheet1"}</definedName>
    <definedName name="Print" hidden="1">{"vi1",#N/A,FALSE,"Financial Statements";"vi2",#N/A,FALSE,"Financial Statements";#N/A,#N/A,FALSE,"DCF"}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op" hidden="1">{"vi1",#N/A,FALSE,"Financial Statements";"vi2",#N/A,FALSE,"Financial Statements";#N/A,#N/A,FALSE,"DCF"}</definedName>
    <definedName name="q" hidden="1">{"'WEB azoc prov'!$B$85:$L$123"}</definedName>
    <definedName name="Q1.5" hidden="1">{"costo totale",#N/A,FALSE,"Risorse e R&amp;D 5";"costi unitari",#N/A,FALSE,"Risorse e R&amp;D 5";"n° addetti",#N/A,FALSE,"Risorse e R&amp;D 5";#N/A,#N/A,FALSE,"Risorse e R&amp;D 5"}</definedName>
    <definedName name="qddd" hidden="1">{"'WEB azoc prov'!$B$85:$L$123"}</definedName>
    <definedName name="QQ" hidden="1">{"'WEB azoc prov'!$B$85:$L$123"}</definedName>
    <definedName name="qqqqq2q" hidden="1">{"ProspettoImposte",#N/A,FALSE,"Prospetto imposte";"Scritture",#N/A,FALSE,"Scritture"}</definedName>
    <definedName name="qqqqqqqqqq" hidden="1">{"'WEB azoc prov'!$B$85:$L$123"}</definedName>
    <definedName name="QQQQQQQQQQQ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qwd" hidden="1">{"'WEB azoc prov'!$B$85:$L$123"}</definedName>
    <definedName name="qwer23r3r23r" hidden="1">{"GuVGmbH",#N/A,FALSE,"ratios";"BilanzGmbH",#N/A,FALSE,"ratios";"BilanzKG",#N/A,FALSE,"ratios";"GuVKG",#N/A,FALSE,"ratios"}</definedName>
    <definedName name="qwerqwerwerwereloollolol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wqwqewd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qwrq23r3r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qz" hidden="1">{"ProspettoImposte",#N/A,FALSE,"Prospetto imposte"}</definedName>
    <definedName name="qzqqqqz" hidden="1">{"Scritture",#N/A,FALSE,"Scritture"}</definedName>
    <definedName name="RedefinePrintTableRange" hidden="1">#REF!</definedName>
    <definedName name="rename_of_wrn.CSC" hidden="1">{"page1",#N/A,TRUE,"CSC";"page2",#N/A,TRUE,"CSC"}</definedName>
    <definedName name="Revenue6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riassuntivo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RICL_FIN" hidden="1">{"ProspettoImposte",#N/A,FALSE,"Prospetto imposte"}</definedName>
    <definedName name="RICL_FIN2" hidden="1">{"Scritture",#N/A,FALSE,"Scritture"}</definedName>
    <definedName name="RICL_FIN3" hidden="1">{"ProspettoImposte",#N/A,FALSE,"Prospetto imposte";"Scritture",#N/A,FALSE,"Scritture"}</definedName>
    <definedName name="riiu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rpm_start_year">#REF!</definedName>
    <definedName name="rtgh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rthrth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rtzztuzj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sadsa" hidden="1">{"ProspettoImposte",#N/A,FALSE,"Prospetto imposte";"Scritture",#N/A,FALSE,"Scritture"}</definedName>
    <definedName name="sap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SAPBEXdnldView" hidden="1">"470SSBIRYRT47FEHB0AQ5ARY5"</definedName>
    <definedName name="SAPBEXhrIndnt" hidden="1">1</definedName>
    <definedName name="SAPBEXrevision" hidden="1">1</definedName>
    <definedName name="SAPBEXsysID" hidden="1">"AP2"</definedName>
    <definedName name="SAPBEXwbID" hidden="1">"3PPYLZ2VU6OICLKJL0JEILTDV"</definedName>
    <definedName name="SAPFuncF4Help" localSheetId="2" hidden="1">Main.SAPF4Help()</definedName>
    <definedName name="SAPFuncF4Help" hidden="1">Main.SAPF4Help()</definedName>
    <definedName name="sd" hidden="1">{"DCF","UPSIDE CASE",FALSE,"Sheet1";"DCF","BASE CASE",FALSE,"Sheet1";"DCF","DOWNSIDE CASE",FALSE,"Sheet1"}</definedName>
    <definedName name="sdgdf" hidden="1">{"Acq_matrix",#N/A,FALSE,"Acquisition Matrix"}</definedName>
    <definedName name="sdsdfsdf" hidden="1">{"GuVGmbH",#N/A,FALSE,"ratios";"BilanzGmbH",#N/A,FALSE,"ratios";"BilanzKG",#N/A,FALSE,"ratios";"GuVKG",#N/A,FALSE,"ratios"}</definedName>
    <definedName name="sdsdsd" hidden="1">{"profit and loss",#N/A,FALSE,"Summary";"revenues",#N/A,FALSE,"Summary";"COSTS",#N/A,FALSE,"Summary"}</definedName>
    <definedName name="sdsf" hidden="1">{"vi1",#N/A,FALSE,"Financial Statements";"vi2",#N/A,FALSE,"Financial Statements";#N/A,#N/A,FALSE,"DCF"}</definedName>
    <definedName name="sf" hidden="1">{"sales",#N/A,FALSE,"Sales";"sales existing",#N/A,FALSE,"Sales";"sales rd1",#N/A,FALSE,"Sales";"sales rd2",#N/A,FALSE,"Sales"}</definedName>
    <definedName name="sfasfwsdf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sff" hidden="1">{"targetdcf",#N/A,FALSE,"Merger consequences";"TARGETASSU",#N/A,FALSE,"Merger consequences";"TERMINAL VALUE",#N/A,FALSE,"Merger consequences"}</definedName>
    <definedName name="sfgf" hidden="1">{"DCF","UPSIDE CASE",FALSE,"Sheet1";"DCF","BASE CASE",FALSE,"Sheet1";"DCF","DOWNSIDE CASE",FALSE,"Sheet1"}</definedName>
    <definedName name="sfwefwef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solver_drv" hidden="1">2</definedName>
    <definedName name="solver_est" hidden="1">2</definedName>
    <definedName name="solver_itr" hidden="1">32767</definedName>
    <definedName name="solver_lin" hidden="1">0</definedName>
    <definedName name="solver_num" hidden="1">0</definedName>
    <definedName name="solver_nwt" hidden="1">1</definedName>
    <definedName name="solver_pre" hidden="1">0.00000000001</definedName>
    <definedName name="solver_rel2" hidden="1">1</definedName>
    <definedName name="solver_scl" hidden="1">0</definedName>
    <definedName name="solver_sho" hidden="1">0</definedName>
    <definedName name="solver_tim" hidden="1">32767</definedName>
    <definedName name="solver_tol" hidden="1">0.000000001</definedName>
    <definedName name="solver_typ" hidden="1">3</definedName>
    <definedName name="solver_val" hidden="1">0</definedName>
    <definedName name="spnpwindpq" hidden="1">{"'WEB azoc prov'!$B$85:$L$123"}</definedName>
    <definedName name="ss" hidden="1">{"'777'!$A$1:$H$41"}</definedName>
    <definedName name="SSASASA" hidden="1">{"'WEB azoc prov'!$B$85:$L$123"}</definedName>
    <definedName name="sss" hidden="1">{"Scritture",#N/A,FALSE,"Scritture"}</definedName>
    <definedName name="ssss" hidden="1">{"ProspettoImposte",#N/A,FALSE,"Prospetto imposte"}</definedName>
    <definedName name="sssssssss" hidden="1">{"'WEB azoc prov'!$B$85:$L$123"}</definedName>
    <definedName name="ssssxs" hidden="1">{"ProspettoImposte",#N/A,FALSE,"Prospetto imposte"}</definedName>
    <definedName name="ssws" hidden="1">{"Aktiva_Gittelde",#N/A,TRUE,"Bilanz-Gittelde";"Liabilities_gittelde",#N/A,TRUE,"Bilanz-Gittelde";"GuV_Gittelde",#N/A,TRUE,"GuV-Gittelde";"Aktiva Dresden",#N/A,TRUE,"Bilanz-Dresden";"Passiva Dresden",#N/A,TRUE,"Bilanz-Dresden";"guv Dresden",#N/A,TRUE,"Guv-Dresden";"FPC_Aktiva_hist",#N/A,TRUE,"Bilanz-FPC-D&amp;Co";"FPC_Passiva_hist",#N/A,TRUE,"Bilanz-FPC-D&amp;Co";"FPC_Aktiva_Plan",#N/A,TRUE,"Bilanz-FPC-D&amp;Co";"FPC_Passiva_Plan",#N/A,TRUE,"Bilanz-FPC-D&amp;Co";"FPC_GuV_hist",#N/A,TRUE,"GuV-FPC";"FPC_GuV_Plan",#N/A,TRUE,"GuV-FPC"}</definedName>
    <definedName name="ssww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STGGHGTTH" hidden="1">{"'WEB azoc prov'!$B$85:$L$123"}</definedName>
    <definedName name="Summary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SVD" hidden="1">{"GuVGmbH",#N/A,FALSE,"ratios";"BilanzGmbH",#N/A,FALSE,"ratios";"BilanzKG",#N/A,FALSE,"ratios";"GuVKG",#N/A,FALSE,"ratios"}</definedName>
    <definedName name="sxqas" hidden="1">{"Scritture",#N/A,FALSE,"Scritture"}</definedName>
    <definedName name="t" hidden="1">{"'WEB azoc prov'!$B$85:$L$123"}</definedName>
    <definedName name="Tables" hidden="1">{"sales",#N/A,FALSE,"Sales";"sales existing",#N/A,FALSE,"Sales";"sales rd1",#N/A,FALSE,"Sales";"sales rd2",#N/A,FALSE,"Sales"}</definedName>
    <definedName name="tests" hidden="1">{#N/A,#N/A,FALSE,"F_Plan";#N/A,#N/A,FALSE,"Parameter"}</definedName>
    <definedName name="thgbj" hidden="1">{"adj95mult",#N/A,FALSE,"COMPCO";"adj95est",#N/A,FALSE,"COMPCO"}</definedName>
    <definedName name="titi" hidden="1">{"ratios2",#N/A,FALSE,"Ratios"}</definedName>
    <definedName name="tll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toto" hidden="1">{"ratios2",#N/A,FALSE,"Ratios"}</definedName>
    <definedName name="trygf" hidden="1">{"adj95mult",#N/A,FALSE,"COMPCO";"adj95est",#N/A,FALSE,"COMPCO"}</definedName>
    <definedName name="TT" hidden="1">{"'WEB azoc prov'!$B$85:$L$123"}</definedName>
    <definedName name="tyufg" hidden="1">{"AQUIRORDCF",#N/A,FALSE,"Merger consequences";"Acquirorassns",#N/A,FALSE,"Merger consequences"}</definedName>
    <definedName name="U_Häufig_PlanBi_28.02.08" hidden="1">{"Budget9596",#N/A,TRUE,"KSTGES.XLS";"Budget9596",#N/A,TRUE,"KST10.XLS";"Budget9596",#N/A,TRUE,"KST11.XLS";"Budget9596",#N/A,TRUE,"KST12.XLS";"Budget9596",#N/A,TRUE,"KST15.XLS";"Budget9596",#N/A,TRUE,"KST20.XLS";"Budget9596",#N/A,TRUE,"KST25.XLS";"Budget9596",#N/A,TRUE,"KST30.XLS";"Budget9596",#N/A,TRUE,"KST40.XLS";"Budget9596",#N/A,TRUE,"KST41.XLS";"Budget9596",#N/A,TRUE,"KST45.XLS";"Budget9596",#N/A,TRUE,"KST50.XLS";"Budget9596",#N/A,TRUE,"KST60.XLS";"Budget9596",#N/A,TRUE,"KST61.XLS";"Budget9596",#N/A,TRUE,"KST65.XLS";"Budget9596",#N/A,TRUE,"KST70.XLS";"Budget9596",#N/A,TRUE,"KST80.XLS";"Budget9596",#N/A,TRUE,"KST90.XLS"}</definedName>
    <definedName name="uiiuiui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V_SUm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vv" hidden="1">{"DCF","UPSIDE CASE",FALSE,"Sheet1";"DCF","BASE CASE",FALSE,"Sheet1";"DCF","DOWNSIDE CASE",FALSE,"Sheet1"}</definedName>
    <definedName name="w" hidden="1">{"'WEB azoc prov'!$B$85:$L$123"}</definedName>
    <definedName name="wdq" hidden="1">{"ProspettoImposte",#N/A,FALSE,"Prospetto imposte";"Scritture",#N/A,FALSE,"Scritture"}</definedName>
    <definedName name="WE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wef4f" hidden="1">{"GuVGmbH",#N/A,FALSE,"ratios";"BilanzGmbH",#N/A,FALSE,"ratios";"BilanzKG",#N/A,FALSE,"ratios";"GuVKG",#N/A,FALSE,"ratios"}</definedName>
    <definedName name="WEFWEF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wer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wewe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wewrrht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WHRwhrWHR" hidden="1">{"Aktiva_Gittelde",#N/A,TRUE,"Bilanz-Gittelde";"Liabilities_gittelde",#N/A,TRUE,"Bilanz-Gittelde";"GuV_Gittelde",#N/A,TRUE,"GuV-Gittelde";"Aktiva Dresden",#N/A,TRUE,"Bilanz-Dresden";"Passiva Dresden",#N/A,TRUE,"Bilanz-Dresden";"guv Dresden",#N/A,TRUE,"Guv-Dresden";"FPC_Aktiva_hist",#N/A,TRUE,"Bilanz-FPC-D&amp;Co";"FPC_Passiva_hist",#N/A,TRUE,"Bilanz-FPC-D&amp;Co";"FPC_Aktiva_Plan",#N/A,TRUE,"Bilanz-FPC-D&amp;Co";"FPC_Passiva_Plan",#N/A,TRUE,"Bilanz-FPC-D&amp;Co";"FPC_GuV_hist",#N/A,TRUE,"GuV-FPC";"FPC_GuV_Plan",#N/A,TRUE,"GuV-FPC"}</definedName>
    <definedName name="whrWHRwhrWR" hidden="1">{"GuVGmbH",#N/A,FALSE,"ratios";"BilanzGmbH",#N/A,FALSE,"ratios";"BilanzKG",#N/A,FALSE,"ratios";"GuVKG",#N/A,FALSE,"ratios"}</definedName>
    <definedName name="whrWHRwrhWRHwrh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WHRwr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WHRwrh" hidden="1">{"WACC",#N/A,FALSE,"Bewertung D&amp;Co";"DCF",#N/A,FALSE,"Bewertung D&amp;Co";"Wert",#N/A,FALSE,"Bewertung D&amp;Co";"Investitionen",#N/A,FALSE,"Cash D&amp;Co";"EBIT",#N/A,FALSE,"Cash D&amp;Co";"Cash Flow",#N/A,FALSE,"Cash D&amp;Co";"FCF",#N/A,FALSE,"Cash D&amp;Co";"EBIT Multiplier",#N/A,FALSE,"EBIT-Multiplier";"Branchen Beta",#N/A,FALSE,"Branchen-Beta";"Dax Rendite",#N/A,FALSE,"DAX-Rendite";"Bu Rendite",#N/A,FALSE,"Bu-Anl-Rendite"}</definedName>
    <definedName name="wqpkdnqwpdion" hidden="1">{"'WEB azoc prov'!$B$85:$L$123"}</definedName>
    <definedName name="wqqw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wrn" hidden="1">{"EVA",#N/A,FALSE,"EVA";"WACC",#N/A,FALSE,"WACC"}</definedName>
    <definedName name="wrn.Accounts." hidden="1">{"turnover",#N/A,FALSE;"profits",#N/A,FALSE;"cash",#N/A,FALSE}</definedName>
    <definedName name="wrn.Acquisition_matrix." hidden="1">{"Acq_matrix",#N/A,FALSE,"Acquisition Matrix"}</definedName>
    <definedName name="wrn.Acquisition_matrix1" hidden="1">{"Acq_matrix",#N/A,FALSE,"Acquisition Matrix"}</definedName>
    <definedName name="wrn.adj95." hidden="1">{"adj95mult",#N/A,FALSE,"COMPCO";"adj95est",#N/A,FALSE,"COMPCO"}</definedName>
    <definedName name="wrn.adj95a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QUIROR._.DCF." hidden="1">{"AQUIRORDCF",#N/A,FALSE,"Merger consequences";"Acquirorassns",#N/A,FALSE,"Merger consequences"}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ackUp." hidden="1">{"Standard",#N/A,FALSE,"BackUp"}</definedName>
    <definedName name="wrn.BEL." hidden="1">{"IS",#N/A,FALSE,"IS";"RPTIS",#N/A,FALSE,"RPTIS";"STATS",#N/A,FALSE,"STATS";"CELL",#N/A,FALSE,"CELL";"BS",#N/A,FALSE,"BS"}</definedName>
    <definedName name="wrn.Bewegungsbilanz." hidden="1">{#N/A,#N/A,FALSE,"Mittelherkunft";#N/A,#N/A,FALSE,"Mittelverwendung"}</definedName>
    <definedName name="wrn.BewertungD." hidden="1">{"WACC",#N/A,FALSE,"Bewertung D&amp;Co";"DCF",#N/A,FALSE,"Bewertung D&amp;Co";"Wert",#N/A,FALSE,"Bewertung D&amp;Co";"Investitionen",#N/A,FALSE,"Cash D&amp;Co";"EBIT",#N/A,FALSE,"Cash D&amp;Co";"Cash Flow",#N/A,FALSE,"Cash D&amp;Co";"FCF",#N/A,FALSE,"Cash D&amp;Co";"EBIT Multiplier",#N/A,FALSE,"EBIT-Multiplier";"Branchen Beta",#N/A,FALSE,"Branchen-Beta";"Dax Rendite",#N/A,FALSE,"DAX-Rendite";"Bu Rendite",#N/A,FALSE,"Bu-Anl-Rendite"}</definedName>
    <definedName name="wrn.Bilanz." hidden="1">{#N/A,#N/A,FALSE,"Layout Aktiva";#N/A,#N/A,FALSE,"Layout Passiva"}</definedName>
    <definedName name="wrn.Bilanzen_GuV_Memo." hidden="1">{"Aktiva_Gittelde",#N/A,TRUE,"Bilanz-Gittelde";"Liabilities_gittelde",#N/A,TRUE,"Bilanz-Gittelde";"GuV_Gittelde",#N/A,TRUE,"GuV-Gittelde";"Aktiva Dresden",#N/A,TRUE,"Bilanz-Dresden";"Passiva Dresden",#N/A,TRUE,"Bilanz-Dresden";"guv Dresden",#N/A,TRUE,"Guv-Dresden";"FPC_Aktiva_hist",#N/A,TRUE,"Bilanz-FPC-D&amp;Co";"FPC_Passiva_hist",#N/A,TRUE,"Bilanz-FPC-D&amp;Co";"FPC_Aktiva_Plan",#N/A,TRUE,"Bilanz-FPC-D&amp;Co";"FPC_Passiva_Plan",#N/A,TRUE,"Bilanz-FPC-D&amp;Co";"FPC_GuV_hist",#N/A,TRUE,"GuV-FPC";"FPC_GuV_Plan",#N/A,TRUE,"GuV-FPC"}</definedName>
    <definedName name="wrn.BPlan." hidden="1">{#N/A,#N/A,FALSE,"F_Plan";#N/A,#N/A,FALSE,"Parameter"}</definedName>
    <definedName name="wrn.BU98_01E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A1";#N/A,#N/A,FALSE,"A2";#N/A,#N/A,FALSE,"A3"}</definedName>
    <definedName name="wrn.Budget9596." hidden="1">{"Budget9596",#N/A,TRUE,"KSTGES.XLS";"Budget9596",#N/A,TRUE,"KST10.XLS";"Budget9596",#N/A,TRUE,"KST11.XLS";"Budget9596",#N/A,TRUE,"KST12.XLS";"Budget9596",#N/A,TRUE,"KST15.XLS";"Budget9596",#N/A,TRUE,"KST20.XLS";"Budget9596",#N/A,TRUE,"KST25.XLS";"Budget9596",#N/A,TRUE,"KST30.XLS";"Budget9596",#N/A,TRUE,"KST40.XLS";"Budget9596",#N/A,TRUE,"KST41.XLS";"Budget9596",#N/A,TRUE,"KST45.XLS";"Budget9596",#N/A,TRUE,"KST50.XLS";"Budget9596",#N/A,TRUE,"KST60.XLS";"Budget9596",#N/A,TRUE,"KST61.XLS";"Budget9596",#N/A,TRUE,"KST65.XLS";"Budget9596",#N/A,TRUE,"KST70.XLS";"Budget9596",#N/A,TRUE,"KST80.XLS";"Budget9596",#N/A,TRUE,"KST90.XLS"}</definedName>
    <definedName name="wrn.Budgetvergleich." hidden="1">{"Budgetvergleich",#N/A,TRUE,"KSTGES.XLS";"Budgetvergleich",#N/A,TRUE,"KST10.XLS";"Budgetvergleich",#N/A,TRUE,"KST11.XLS";"Budgetvergleich",#N/A,TRUE,"KST12.XLS";"Budgetvergleich",#N/A,TRUE,"KST15.XLS";"Budgetvergleich",#N/A,TRUE,"KST20.XLS";"Budgetvergleich",#N/A,TRUE,"KST25.XLS";"Budgetvergleich",#N/A,TRUE,"KST30.XLS";"Budgetvergleich",#N/A,TRUE,"KST40.XLS";"Budgetvergleich",#N/A,TRUE,"KST41.XLS";"Budgetvergleich",#N/A,TRUE,"KST45.XLS";"Budgetvergleich",#N/A,TRUE,"KST50.XLS";"Budgetvergleich",#N/A,TRUE,"KST60.XLS";"Budgetvergleich",#N/A,TRUE,"KST61.XLS";"Budgetvergleich",#N/A,TRUE,"KST65.XLS";"Budgetvergleich",#N/A,TRUE,"KST70.XLS";"Budgetvergleich",#N/A,TRUE,"KST80.XLS";"Budgetvergleich",#N/A,TRUE,"KST90.XLS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sh._.Flow." hidden="1">{#N/A,#N/A,FALSE,"Layout Cash Flow"}</definedName>
    <definedName name="wrn.Cider." hidden="1">{#N/A,#N/A,FALSE,"Cider Segment";#N/A,#N/A,FALSE,"Bulmers";#N/A,#N/A,FALSE,"Ritz";#N/A,#N/A,FALSE,"Stag";#N/A,#N/A,FALSE,"Cider Others"}</definedName>
    <definedName name="wrn.compco." hidden="1">{"mult96",#N/A,FALSE,"PETCOMP";"est96",#N/A,FALSE,"PETCOMP";"mult95",#N/A,FALSE,"PETCOMP";"est95",#N/A,FALSE,"PETCOMP";"multltm",#N/A,FALSE,"PETCOMP";"resultltm",#N/A,FALSE,"PETCOMP"}</definedName>
    <definedName name="wrn.compco2" hidden="1">{"mult96",#N/A,FALSE,"PETCOMP";"est96",#N/A,FALSE,"PETCOMP";"mult95",#N/A,FALSE,"PETCOMP";"est95",#N/A,FALSE,"PETCOMP";"multltm",#N/A,FALSE,"PETCOMP";"resultltm",#N/A,FALSE,"PETCOMP"}</definedName>
    <definedName name="wrn.Consolidated._.Set." hidden="1">{"Consolidated IS w Ratios",#N/A,FALSE,"Consolidated";"Consolidated CF",#N/A,FALSE,"Consolidated";"Consolidated DCF",#N/A,FALSE,"Consolidated"}</definedName>
    <definedName name="wrn.contribution." hidden="1">{#N/A,#N/A,FALSE,"Contribution Analysis"}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T.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sc." hidden="1">{"orixcsc",#N/A,FALSE,"ORIX CSC";"orixcsc2",#N/A,FALSE,"ORIX CSC"}</definedName>
    <definedName name="wrn.CSC2" hidden="1">{"page1",#N/A,TRUE,"CSC";"page2",#N/A,TRUE,"CSC"}</definedName>
    <definedName name="wrn.csc2." hidden="1">{#N/A,#N/A,FALSE,"ORIX CSC"}</definedName>
    <definedName name="wrn.database." hidden="1">{"subs",#N/A,FALSE,"database ";"proportional",#N/A,FALSE,"database "}</definedName>
    <definedName name="wrn.DCF." hidden="1">{"DCF1",#N/A,FALSE,"SIERRA DCF";"MATRIX1",#N/A,FALSE,"SIERRA DCF"}</definedName>
    <definedName name="wrn.DCF_Terminal_Value_qchm." hidden="1">{"qchm_dcf",#N/A,FALSE,"QCHMDCF2";"qchm_terminal",#N/A,FALSE,"QCHMDCF2"}</definedName>
    <definedName name="wrn.detail." hidden="1">{"Build1",#N/A,FALSE,"Buildup";"Build2",#N/A,FALSE,"Buildup";"Build3",#N/A,FALSE,"Buildup"}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hidden="1">{"EVA",#N/A,FALSE,"EVA";"WACC",#N/A,FALSE,"WACC"}</definedName>
    <definedName name="wrn.Employee._.Efficiency." hidden="1">{"Employee Efficiency",#N/A,FALSE,"Benchmarking"}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.Base." hidden="1">{"Eur Base Top",#N/A,FALSE,"Europe Base";"Eur Base Bottom",#N/A,FALSE,"Europe Base"}</definedName>
    <definedName name="wrn.Europe._.Set." hidden="1">{"IS w Ratios",#N/A,FALSE,"Europe";"PF CF Europe",#N/A,FALSE,"Europe";"DCF Eur Matrix",#N/A,FALSE,"Europe"}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hidden="1">{"External_Annual_Income",#N/A,FALSE,"External";"External_Quarterly_Income",#N/A,FALSE,"External"}</definedName>
    <definedName name="wrn.Far._.East._.Set." hidden="1">{"IS FE with Ratios",#N/A,FALSE,"Far East";"PF CF Far East",#N/A,FALSE,"Far East";"DCF Far East Matrix",#N/A,FALSE,"Far East"}</definedName>
    <definedName name="wrn.fcb2" hidden="1">{"FCB_ALL",#N/A,FALSE,"FCB"}</definedName>
    <definedName name="wrn.FE._.Sensitivity." hidden="1">{"Far East Top",#N/A,FALSE,"FE Model";"Far East Mid",#N/A,FALSE,"FE Model";"Far East Base",#N/A,FALSE,"FE Model"}</definedName>
    <definedName name="wrn.financials.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zbedarfsrechnung." hidden="1">{#N/A,#N/A,FALSE,"Finanzbedarfsrechnung"}</definedName>
    <definedName name="wrn.Förster." hidden="1">{"GuVGmbH",#N/A,FALSE,"ratios";"BilanzGmbH",#N/A,FALSE,"ratios";"BilanzKG",#N/A,FALSE,"ratios";"GuVKG",#N/A,FALSE,"ratios"}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ull." hidden="1">{"Comp1",#N/A,FALSE,"COMP";"Comp2",#N/A,FALSE,"COMP";"Comp3",#N/A,FALSE,"COMP";"Comp4",#N/A,FALSE,"COMP"}</definedName>
    <definedName name="wrn.Full._.model.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L." hidden="1">{#N/A,#N/A,TRUE,"Auftragsstand Metall";#N/A,#N/A,TRUE,"Umsatz"}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uV." hidden="1">{#N/A,#N/A,FALSE,"Layout GuV"}</definedName>
    <definedName name="wrn.GuV_Bilanz_10y." hidden="1">{"GuV_10y",#N/A,FALSE,"LocCur";"Stand_10y",#N/A,FALSE,"DM"}</definedName>
    <definedName name="wrn.Income._.Statement." hidden="1">{#N/A,#N/A,FALSE,"Report Print"}</definedName>
    <definedName name="wrn.Inputs." hidden="1">{"Inputs",#N/A,TRUE,"North America";"Inputs",#N/A,TRUE,"Europe";"Inputs",#N/A,TRUE,"Asia Pacific";"Inputs",#N/A,TRUE,"Latin America";"Inputs",#N/A,TRUE,"Wireless"}</definedName>
    <definedName name="wrn.Inputsheet_ProjectInput." hidden="1">{"ProjectInput",#N/A,FALSE,"INPUT-AREA"}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vest._.mit._.Steuern." hidden="1">{"Invest mit Steuern",#N/A,FALSE,"Rg."}</definedName>
    <definedName name="wrn.Invest._.ohne._.Steuern." hidden="1">{"Invest ohne Steuern",#N/A,FALSE,"Rg."}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JG._.FE._.Dollar." hidden="1">{"JG FE Top",#N/A,FALSE,"JG FE $";"JG FE Bottom",#N/A,FALSE,"JG FE $"}</definedName>
    <definedName name="wrn.JG._.FE._.Yen." hidden="1">{"JG FE Top",#N/A,FALSE,"JG FE ¥";"JG FE Bottom",#N/A,FALSE,"JG FE ¥"}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ine._.Efficiency." hidden="1">{"Line Efficiency",#N/A,FALSE,"Benchmarking"}</definedName>
    <definedName name="wrn.Master_Income." hidden="1">{"Annual_Income",#N/A,FALSE,"Master Model";"Quarterly_Income",#N/A,FALSE,"Master Model"}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NA._.Model._.T._.and._.B." hidden="1">{"NA Top",#N/A,FALSE,"NA Model";"NA Bottom",#N/A,FALSE,"NA Model"}</definedName>
    <definedName name="wrn.NA_ULV._.Tand._.B." hidden="1">{"NA Top",#N/A,FALSE,"NA-ULV";"NA Bottom",#N/A,FALSE,"NA-ULV"}</definedName>
    <definedName name="wrn.Normal.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th._.America._.Set." hidden="1">{"NA Is w Ratios",#N/A,FALSE,"North America";"PF CFlow NA",#N/A,FALSE,"North America";"NA DCF Matrix",#N/A,FALSE,"North America"}</definedName>
    <definedName name="wrn.OUTPUT." hidden="1">{"DCF","UPSIDE CASE",FALSE,"Sheet1";"DCF","BASE CASE",FALSE,"Sheet1";"DCF","DOWNSIDE CASE",FALSE,"Sheet1"}</definedName>
    <definedName name="wrn.PEWC1." hidden="1">{"Graphic",#N/A,TRUE,"Graphic"}</definedName>
    <definedName name="wrn.PHASE._.Financials.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wrn.Planung_Ebeling.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wrn.PrimeCo." hidden="1">{"print 1",#N/A,FALSE,"PrimeCo PCS";"print 2",#N/A,FALSE,"PrimeCo PCS";"valuation",#N/A,FALSE,"PrimeCo PCS"}</definedName>
    <definedName name="wrn.Print." hidden="1">{"vi1",#N/A,FALSE,"Financial Statements";"vi2",#N/A,FALSE,"Financial Statements";#N/A,#N/A,FALSE,"DCF"}</definedName>
    <definedName name="wrn.print._.all." hidden="1">{#N/A,#N/A,TRUE,"Introduction";#N/A,#N/A,TRUE,"DCR - TV";#N/A,#N/A,TRUE,"Summary";#N/A,#N/A,TRUE,"Valuation (5)";#N/A,#N/A,TRUE,"Valuation (2)";#N/A,#N/A,TRUE,"Valuation (3)";#N/A,#N/A,TRUE,"Valuation";#N/A,#N/A,TRUE,"Sensitivity Summary";#N/A,#N/A,TRUE,"Proforma Accounts";#N/A,#N/A,TRUE,"Traffic";#N/A,#N/A,TRUE,"Tariffs";#N/A,#N/A,TRUE,"Revenue";#N/A,#N/A,TRUE,"Costs";#N/A,#N/A,TRUE,"Financing Assumptions"}</definedName>
    <definedName name="wrn.Print._.Europe._.TandB." hidden="1">{"Print Top",#N/A,FALSE,"Europe Model";"Print Bottom",#N/A,FALSE,"Europe Model"}</definedName>
    <definedName name="wrn.Print._.FE._.T._.and._.B." hidden="1">{"Far East Top",#N/A,FALSE,"FE Model";"Far East Bottom",#N/A,FALSE,"FE Model"}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2." hidden="1">{#N/A,#N/A,FALSE,"Spain MKT";#N/A,#N/A,FALSE,"Assumptions";#N/A,#N/A,FALSE,"Adve";#N/A,#N/A,FALSE,"E-Commerce";#N/A,#N/A,FALSE,"Opex";#N/A,#N/A,FALSE,"P&amp;L";#N/A,#N/A,FALSE,"FCF &amp; DCF"}</definedName>
    <definedName name="wrn.print._.standalone." hidden="1">{"standalone1",#N/A,FALSE,"DCFBase";"standalone2",#N/A,FALSE,"DCFBase"}</definedName>
    <definedName name="wrn.Print_CSC." hidden="1">{"CSC_1",#N/A,FALSE,"CSC Outputs";"CSC_2",#N/A,FALSE,"CSC Outputs"}</definedName>
    <definedName name="wrn.Print_CSC2" hidden="1">{"CSC_1",#N/A,FALSE,"CSC Outputs";"CSC_2",#N/A,FALSE,"CSC Outputs"}</definedName>
    <definedName name="wrn.printall." hidden="1">{"projections1",#N/A,FALSE,"projections";"dcf2",#N/A,FALSE,"dcf";"dcf no profit sharing",#N/A,FALSE,"dcf no profit sharing";"avp1",#N/A,FALSE,"avp"}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spetto." hidden="1">{"ProspettoImposte",#N/A,FALSE,"Prospetto imposte"}</definedName>
    <definedName name="wrn.r_d." hidden="1">{"costo totale",#N/A,FALSE,"Risorse e R&amp;D 5";"costi unitari",#N/A,FALSE,"Risorse e R&amp;D 5";"n° addetti",#N/A,FALSE,"Risorse e R&amp;D 5";#N/A,#N/A,FALSE,"Risorse e R&amp;D 5"}</definedName>
    <definedName name="wrn.ratios._.only." hidden="1">{"ratios2",#N/A,FALSE,"Ratios"}</definedName>
    <definedName name="wrn.Report_Page." hidden="1">{"Annual_Income",#N/A,FALSE,"Report Page";"Balance_Cash_Flow",#N/A,FALSE,"Report Page";"Quarterly_Income",#N/A,FALSE,"Report Page"}</definedName>
    <definedName name="wrn.Robuster." hidden="1">{#N/A,#N/A,TRUE,"Cover";#N/A,#N/A,TRUE,"Descr";#N/A,#N/A,TRUE,"Control (In)";#N/A,#N/A,TRUE,"Op Margin";#N/A,#N/A,TRUE,"Depn";#N/A,#N/A,TRUE,"Finance";#N/A,#N/A,TRUE,"Tax";#N/A,#N/A,TRUE,"P &amp; L";#N/A,#N/A,TRUE,"CFS";#N/A,#N/A,TRUE,"BS";#N/A,#N/A,TRUE,"DCF";#N/A,#N/A,TRUE,"Ratios"}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sales." hidden="1">{"sales",#N/A,FALSE,"Sales";"sales existing",#N/A,FALSE,"Sales";"sales rd1",#N/A,FALSE,"Sales";"sales rd2",#N/A,FALSE,"Sales"}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critture." hidden="1">{"Scritture",#N/A,FALSE,"Scritture"}</definedName>
    <definedName name="wrn.seperate_terminals." hidden="1">{"Terminal_1",#N/A,FALSE,"New CAPEX";"Terminal_2",#N/A,FALSE,"New CAPEX";"Terminal_3",#N/A,FALSE,"New CAPEX"}</definedName>
    <definedName name="wrn.SHORT." hidden="1">{"CREDIT STATISTICS",#N/A,FALSE,"STATS";"CF_AND_IS",#N/A,FALSE,"PLAN";"BALSHEET",#N/A,FALSE,"BALANCE SHEET"}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tandard." hidden="1">{"Financials",#N/A,FALSE,"Financials";"AVP",#N/A,FALSE,"AVP";"DCF",#N/A,FALSE,"DCF";"CSC",#N/A,FALSE,"CSC";"Deal_Comp",#N/A,FALSE,"DealComp"}</definedName>
    <definedName name="wrn.Standard_10y." hidden="1">{"Stand_10y",#N/A,FALSE,"LocCur";"Stand_10y",#N/A,FALSE,"DM"}</definedName>
    <definedName name="wrn.SUMMARY." hidden="1">{"Section 1",#N/A,TRUE,"Summary";"Section 2",#N/A,TRUE,"Summary";"Section 3",#N/A,TRUE,"Summary";"Section 4",#N/A,TRUE,"Summary"}</definedName>
    <definedName name="wrn.Summary_PL." hidden="1">{"profit and loss",#N/A,FALSE,"Summary";"revenues",#N/A,FALSE,"Summary";"COSTS",#N/A,FALSE,"Summary"}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TARGET._.DCF." hidden="1">{"targetdcf",#N/A,FALSE,"Merger consequences";"TARGETASSU",#N/A,FALSE,"Merger consequences";"TERMINAL VALUE",#N/A,FALSE,"Merger consequences"}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elstra._.Inputs." hidden="1">{"Inputs",#N/A,FALSE,"US_FL";"Inputs",#N/A,FALSE,"EUROPE_FL";"Inputs",#N/A,FALSE,"ASIA_FL"}</definedName>
    <definedName name="wrn.Telstra._.Output." hidden="1">{"Output",#N/A,FALSE,"US_FL";"Output",#N/A,FALSE,"EUROPE_FL";"Output",#N/A,FALSE,"ASIA_FL"}</definedName>
    <definedName name="wrn.test." hidden="1">{"test2",#N/A,TRUE,"Prices"}</definedName>
    <definedName name="wrn.Tutto." hidden="1">{"ProspettoImposte",#N/A,FALSE,"Prospetto imposte";"Scritture",#N/A,FALSE,"Scritture"}</definedName>
    <definedName name="wrn.Tweety." hidden="1">{#N/A,#N/A,FALSE,"A&amp;E";#N/A,#N/A,FALSE,"HighTop";#N/A,#N/A,FALSE,"JG";#N/A,#N/A,FALSE,"RI";#N/A,#N/A,FALSE,"woHT";#N/A,#N/A,FALSE,"woHT&amp;JG"}</definedName>
    <definedName name="wrn.Umsatz." hidden="1">{#N/A,#N/A,FALSE,"Umsatz";#N/A,#N/A,FALSE,"Base V.02";#N/A,#N/A,FALSE,"Charts"}</definedName>
    <definedName name="wrn.Upper._.Case.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SW." hidden="1">{"IS",#N/A,FALSE,"IS";"RPTIS",#N/A,FALSE,"RPTIS";"STATS",#N/A,FALSE,"STATS";"BS",#N/A,FALSE,"BS"}</definedName>
    <definedName name="wrn.valderrama." hidden="1">{"valderrama1",#N/A,FALSE,"Pro Forma";"valderrama",#N/A,FALSE,"Pro Forma"}</definedName>
    <definedName name="wrn.valuation." hidden="1">{#N/A,#N/A,FALSE,"Valuation";#N/A,#N/A,FALSE,"Valuation (5)";#N/A,#N/A,FALSE,"Valuation (2)";#N/A,#N/A,FALSE,"Valuation (3)"}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Summary." hidden="1">{#N/A,#N/A,FALSE,"Summary";#N/A,#N/A,FALSE,"Base Materials";#N/A,#N/A,FALSE,"Construction";#N/A,#N/A,FALSE,"Packaging";#N/A,#N/A,FALSE,"Transportation"}</definedName>
    <definedName name="wrn.Wacc." hidden="1">{"Area1",#N/A,FALSE,"OREWACC";"Area2",#N/A,FALSE,"OREWACC"}</definedName>
    <definedName name="wrn.Wacc.1" hidden="1">{"Area1",#N/A,FALSE,"OREWACC";"Area2",#N/A,FALSE,"OREWACC"}</definedName>
    <definedName name="wrn.Water." hidden="1">{#N/A,#N/A,FALSE,"Water";#N/A,#N/A,FALSE,"Ballygowan";#N/A,#N/A,FALSE,"Volvic"}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neSpirits." hidden="1">{#N/A,#N/A,FALSE,"W&amp;Spirits";#N/A,#N/A,FALSE,"Grants";#N/A,#N/A,FALSE,"CCB"}</definedName>
    <definedName name="wrn.Worksheets." hidden="1">{#N/A,#N/A,FALSE,"Base Materials";#N/A,#N/A,FALSE,"Construction";#N/A,#N/A,FALSE,"Packaging";#N/A,#N/A,FALSE,"Transportation"}</definedName>
    <definedName name="wrn.YTD." hidden="1">{"Chemical Division",#N/A,FALSE,"YTD";"Divisions",#N/A,FALSE,"YTD"}</definedName>
    <definedName name="wrn_eva" hidden="1">{"EVA",#N/A,FALSE,"EVA";"WACC",#N/A,FALSE,"WACC"}</definedName>
    <definedName name="wrn_otpt" hidden="1">{"DCF","UPSIDE CASE",FALSE,"Sheet1";"DCF","BASE CASE",FALSE,"Sheet1";"DCF","DOWNSIDE CASE",FALSE,"Sheet1"}</definedName>
    <definedName name="wrn1.Bewegungsbilanz" hidden="1">{#N/A,#N/A,FALSE,"Mittelherkunft";#N/A,#N/A,FALSE,"Mittelverwendung"}</definedName>
    <definedName name="wrn2.Bplan." hidden="1">{#N/A,#N/A,FALSE,"F_Plan";#N/A,#N/A,FALSE,"Parameter"}</definedName>
    <definedName name="wrwrwrwr" hidden="1">{"WACC",#N/A,FALSE,"Bewertung D&amp;Co";"DCF",#N/A,FALSE,"Bewertung D&amp;Co";"Wert",#N/A,FALSE,"Bewertung D&amp;Co";"Investitionen",#N/A,FALSE,"Cash D&amp;Co";"EBIT",#N/A,FALSE,"Cash D&amp;Co";"Cash Flow",#N/A,FALSE,"Cash D&amp;Co";"FCF",#N/A,FALSE,"Cash D&amp;Co";"EBIT Multiplier",#N/A,FALSE,"EBIT-Multiplier";"Branchen Beta",#N/A,FALSE,"Branchen-Beta";"Dax Rendite",#N/A,FALSE,"DAX-Rendite";"Bu Rendite",#N/A,FALSE,"Bu-Anl-Rendite"}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W" hidden="1">{"'WEB azoc prov'!$B$85:$L$123"}</definedName>
    <definedName name="wwefwefwfe" hidden="1">{"Deckbl",#N/A,FALSE,"Deckblatt";"Eckzahlen",#N/A,FALSE,"Eckzahlen";"Bilanz",#N/A,FALSE,"Bilanz";"GuV",#N/A,FALSE,"GUV";"GuvScha_Wa",#N/A,FALSE,"GuvScha+Wa";"guvgi",#N/A,FALSE,"GuvGI";"guvdd",#N/A,FALSE,"GuvDD";#N/A,#N/A,FALSE,"Guv3D";"guvwaren",#N/A,FALSE,"GuvWaren";"guvbestückung",#N/A,FALSE,"GuvBestück";"guvprojek",#N/A,FALSE,"GuvProjek";"guvesr",#N/A,FALSE,"GuvESR";"investalt.",#N/A,FALSE,"Invest alt.";"aventw",#N/A,FALSE,"AV-Entw.";"personal",#N/A,FALSE,"Persaufw";"personal2",#N/A,FALSE,"Persaufw";"pmgerüst",#N/A,FALSE,"Preis-Mengen-Gerüst";"cflow1",#N/A,FALSE,"CashFlow";"cflow2",#N/A,FALSE,"CashFlow";"cflow3",#N/A,FALSE,"CashFlow";"FCF",#N/A,FALSE,"Unternehmensbewertung DCF";"WACC",#N/A,FALSE,"Unternehmensbewertung DCF";"Wert",#N/A,FALSE,"Unternehmensbewertung DCF"}</definedName>
    <definedName name="www" hidden="1">{"DCF","UPSIDE CASE",FALSE,"Sheet1";"DCF","BASE CASE",FALSE,"Sheet1";"DCF","DOWNSIDE CASE",FALSE,"Sheet1"}</definedName>
    <definedName name="wwwwww" hidden="1">{"'WEB azoc prov'!$B$85:$L$123"}</definedName>
    <definedName name="x" hidden="1">{"Budget9596",#N/A,TRUE,"KSTGES.XLS";"Budget9596",#N/A,TRUE,"KST10.XLS";"Budget9596",#N/A,TRUE,"KST11.XLS";"Budget9596",#N/A,TRUE,"KST12.XLS";"Budget9596",#N/A,TRUE,"KST15.XLS";"Budget9596",#N/A,TRUE,"KST20.XLS";"Budget9596",#N/A,TRUE,"KST25.XLS";"Budget9596",#N/A,TRUE,"KST30.XLS";"Budget9596",#N/A,TRUE,"KST40.XLS";"Budget9596",#N/A,TRUE,"KST41.XLS";"Budget9596",#N/A,TRUE,"KST45.XLS";"Budget9596",#N/A,TRUE,"KST50.XLS";"Budget9596",#N/A,TRUE,"KST60.XLS";"Budget9596",#N/A,TRUE,"KST61.XLS";"Budget9596",#N/A,TRUE,"KST65.XLS";"Budget9596",#N/A,TRUE,"KST70.XLS";"Budget9596",#N/A,TRUE,"KST80.XLS";"Budget9596",#N/A,TRUE,"KST90.XLS"}</definedName>
    <definedName name="xx" hidden="1">{"Budgetvergleich",#N/A,TRUE,"KSTGES.XLS";"Budgetvergleich",#N/A,TRUE,"KST10.XLS";"Budgetvergleich",#N/A,TRUE,"KST11.XLS";"Budgetvergleich",#N/A,TRUE,"KST12.XLS";"Budgetvergleich",#N/A,TRUE,"KST15.XLS";"Budgetvergleich",#N/A,TRUE,"KST20.XLS";"Budgetvergleich",#N/A,TRUE,"KST25.XLS";"Budgetvergleich",#N/A,TRUE,"KST30.XLS";"Budgetvergleich",#N/A,TRUE,"KST40.XLS";"Budgetvergleich",#N/A,TRUE,"KST41.XLS";"Budgetvergleich",#N/A,TRUE,"KST45.XLS";"Budgetvergleich",#N/A,TRUE,"KST50.XLS";"Budgetvergleich",#N/A,TRUE,"KST60.XLS";"Budgetvergleich",#N/A,TRUE,"KST61.XLS";"Budgetvergleich",#N/A,TRUE,"KST65.XLS";"Budgetvergleich",#N/A,TRUE,"KST70.XLS";"Budgetvergleich",#N/A,TRUE,"KST80.XLS";"Budgetvergleich",#N/A,TRUE,"KST90.XLS"}</definedName>
    <definedName name="xxx" hidden="1">{"Area1",#N/A,FALSE,"OREWACC";"Area2",#N/A,FALSE,"OREWACC"}</definedName>
    <definedName name="XXXX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xy" hidden="1">{#N/A,#N/A,FALSE,"Mittelherkunft";#N/A,#N/A,FALSE,"Mittelverwendung"}</definedName>
    <definedName name="yiopy" hidden="1">{"EVA",#N/A,FALSE,"EVA";"WACC",#N/A,FALSE,"WACC"}</definedName>
    <definedName name="yoi" hidden="1">{"sales",#N/A,FALSE,"Sales";"sales existing",#N/A,FALSE,"Sales";"sales rd1",#N/A,FALSE,"Sales";"sales rd2",#N/A,FALSE,"Sales"}</definedName>
    <definedName name="yop" hidden="1">{"vi1",#N/A,FALSE,"Financial Statements";"vi2",#N/A,FALSE,"Financial Statements";#N/A,#N/A,FALSE,"DCF"}</definedName>
    <definedName name="ytd" hidden="1">{"Acq_matrix",#N/A,FALSE,"Acquisition Matrix"}</definedName>
    <definedName name="ytus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yue" hidden="1">{"targetdcf",#N/A,FALSE,"Merger consequences";"TARGETASSU",#N/A,FALSE,"Merger consequences";"TERMINAL VALUE",#N/A,FALSE,"Merger consequences"}</definedName>
    <definedName name="yus" hidden="1">{"qchm_dcf",#N/A,FALSE,"QCHMDCF2";"qchm_terminal",#N/A,FALSE,"QCHMDCF2"}</definedName>
    <definedName name="za" hidden="1">{"'WEB azoc prov'!$B$85:$L$123"}</definedName>
    <definedName name="zaza" hidden="1">{"'WEB azoc prov'!$B$85:$L$123"}</definedName>
    <definedName name="zulizlizil" hidden="1">{"Ebit GuV",#N/A,FALSE,"EBIT";"Finanzbedarf1",#N/A,FALSE,"Finanzbedarf";"GuV",#N/A,FALSE,"1.GUV";"GuV Hist. 2",#N/A,FALSE,"1.GUV";"GuV Plan3",#N/A,FALSE,"1.GUV";"Bilanz Aktiva Hist",#N/A,FALSE,"2.Bilanz ";"Bilanz Passiva Hist",#N/A,FALSE,"2.Bilanz ";"Bilanz Aktiva Plan",#N/A,FALSE,"2.Bilanz ";"Bilanz Passiva Plan",#N/A,FALSE,"2.Bilanz ";"Personal Hist",#N/A,FALSE,"1.1.2. Personal";"Personal Plan",#N/A,FALSE,"1.1.2. Personal";"Umschalter AV",#N/A,FALSE,"2.2.Umschalter Anlagevermögen";"AV 93 95",#N/A,FALSE,"2.2.1.Anlagevermögen (Hist.)";"AV Plan 97 98",#N/A,FALSE,"2.2.2.AV Plan";"AV 95 97",#N/A,FALSE,"2.2.1.Anlagevermögen (Hist.)";"AV Plan 98 00",#N/A,FALSE,"2.2.2.AV Plan";"AV Plan 00 01",#N/A,FALSE,"2.2.2.AV Plan"}</definedName>
    <definedName name="zulzulzul" hidden="1">{"WACC",#N/A,FALSE,"Bewertung D&amp;Co";"DCF",#N/A,FALSE,"Bewertung D&amp;Co";"Wert",#N/A,FALSE,"Bewertung D&amp;Co";"Investitionen",#N/A,FALSE,"Cash D&amp;Co";"EBIT",#N/A,FALSE,"Cash D&amp;Co";"Cash Flow",#N/A,FALSE,"Cash D&amp;Co";"FCF",#N/A,FALSE,"Cash D&amp;Co";"EBIT Multiplier",#N/A,FALSE,"EBIT-Multiplier";"Branchen Beta",#N/A,FALSE,"Branchen-Beta";"Dax Rendite",#N/A,FALSE,"DAX-Rendite";"Bu Rendite",#N/A,FALSE,"Bu-Anl-Rendite"}</definedName>
    <definedName name="ZZ" hidden="1">{"'WEB azoc prov'!$B$85:$L$123"}</definedName>
    <definedName name="zzzzzzzqqqqq" hidden="1">{"ProspettoImposte",#N/A,FALSE,"Prospetto imposte";"Scritture",#N/A,FALSE,"Scritture"}</definedName>
    <definedName name="zzzzzzzzz" hidden="1">{"'WEB azoc prov'!$B$85:$L$123"}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68" l="1"/>
  <c r="D29" i="68"/>
  <c r="I65" i="176"/>
  <c r="I58" i="176"/>
  <c r="I57" i="176"/>
  <c r="I55" i="176"/>
  <c r="I54" i="176"/>
  <c r="I53" i="176"/>
  <c r="I52" i="176"/>
  <c r="I51" i="176"/>
  <c r="I50" i="176"/>
  <c r="I49" i="176"/>
  <c r="I43" i="176"/>
  <c r="I42" i="176"/>
  <c r="I40" i="176"/>
  <c r="I39" i="176"/>
  <c r="I38" i="176"/>
  <c r="I37" i="176"/>
  <c r="I36" i="176"/>
  <c r="I35" i="176"/>
  <c r="I34" i="176"/>
  <c r="D24" i="68"/>
  <c r="D19" i="68"/>
  <c r="K34" i="176" l="1"/>
  <c r="K40" i="176"/>
  <c r="J40" i="176" s="1"/>
  <c r="K42" i="176"/>
  <c r="J42" i="176" s="1"/>
  <c r="K38" i="176"/>
  <c r="J38" i="176" s="1"/>
  <c r="K43" i="176"/>
  <c r="J43" i="176" s="1"/>
  <c r="K35" i="176"/>
  <c r="J35" i="176" s="1"/>
  <c r="K36" i="176"/>
  <c r="J36" i="176" s="1"/>
  <c r="K37" i="176"/>
  <c r="J37" i="176" s="1"/>
  <c r="K39" i="176"/>
  <c r="J39" i="176" s="1"/>
  <c r="J34" i="176"/>
  <c r="D23" i="176"/>
  <c r="E23" i="176"/>
  <c r="D28" i="68"/>
  <c r="D26" i="68"/>
  <c r="L31" i="174"/>
  <c r="O31" i="174"/>
  <c r="L33" i="174"/>
  <c r="O33" i="174"/>
  <c r="L34" i="174"/>
  <c r="O34" i="174"/>
  <c r="L35" i="174"/>
  <c r="O35" i="174"/>
  <c r="L36" i="174"/>
  <c r="O36" i="174"/>
  <c r="L37" i="174"/>
  <c r="O37" i="174"/>
  <c r="L38" i="174"/>
  <c r="O38" i="174"/>
  <c r="L40" i="174"/>
  <c r="O40" i="174"/>
  <c r="L41" i="174"/>
  <c r="O41" i="174"/>
  <c r="L42" i="174"/>
  <c r="O42" i="174"/>
  <c r="L44" i="174"/>
  <c r="O44" i="174"/>
  <c r="L45" i="174"/>
  <c r="O45" i="174"/>
  <c r="L46" i="174"/>
  <c r="O46" i="174"/>
  <c r="L47" i="174"/>
  <c r="O47" i="174"/>
  <c r="L48" i="174"/>
  <c r="O48" i="174"/>
  <c r="L49" i="174"/>
  <c r="O49" i="174"/>
  <c r="L50" i="174"/>
  <c r="O50" i="174"/>
  <c r="L51" i="174"/>
  <c r="O51" i="174"/>
  <c r="L52" i="174"/>
  <c r="O52" i="174"/>
  <c r="L53" i="174"/>
  <c r="O53" i="174"/>
  <c r="L54" i="174"/>
  <c r="O54" i="174"/>
  <c r="O30" i="174"/>
  <c r="L30" i="174"/>
  <c r="O24" i="174"/>
  <c r="O23" i="174"/>
  <c r="O22" i="174"/>
  <c r="O20" i="174"/>
  <c r="O19" i="174"/>
  <c r="O18" i="174"/>
  <c r="O16" i="174"/>
  <c r="O15" i="174"/>
  <c r="L24" i="174"/>
  <c r="L23" i="174"/>
  <c r="L22" i="174"/>
  <c r="L20" i="174"/>
  <c r="L19" i="174"/>
  <c r="L18" i="174"/>
  <c r="L16" i="174"/>
  <c r="L15" i="174"/>
  <c r="I24" i="174"/>
  <c r="I23" i="174"/>
  <c r="I22" i="174"/>
  <c r="I20" i="174"/>
  <c r="I19" i="174"/>
  <c r="I18" i="174"/>
  <c r="I16" i="174"/>
  <c r="I15" i="174"/>
  <c r="I54" i="174"/>
  <c r="I53" i="174"/>
  <c r="I52" i="174"/>
  <c r="I51" i="174"/>
  <c r="I50" i="174"/>
  <c r="I49" i="174"/>
  <c r="I48" i="174"/>
  <c r="I47" i="174"/>
  <c r="I46" i="174"/>
  <c r="I45" i="174"/>
  <c r="I44" i="174"/>
  <c r="I42" i="174"/>
  <c r="I41" i="174"/>
  <c r="I40" i="174"/>
  <c r="I38" i="174"/>
  <c r="I37" i="174"/>
  <c r="I36" i="174"/>
  <c r="I35" i="174"/>
  <c r="I34" i="174"/>
  <c r="I33" i="174"/>
  <c r="I31" i="174"/>
  <c r="I30" i="174"/>
  <c r="C45" i="174"/>
  <c r="C46" i="174"/>
  <c r="C47" i="174"/>
  <c r="C48" i="174"/>
  <c r="C49" i="174"/>
  <c r="C50" i="174"/>
  <c r="C51" i="174"/>
  <c r="C52" i="174"/>
  <c r="C53" i="174"/>
  <c r="C54" i="174"/>
  <c r="C44" i="174"/>
  <c r="D43" i="174"/>
  <c r="C43" i="174"/>
  <c r="C41" i="174"/>
  <c r="C42" i="174"/>
  <c r="D39" i="174"/>
  <c r="C40" i="174"/>
  <c r="C39" i="174"/>
  <c r="D32" i="174"/>
  <c r="C38" i="174"/>
  <c r="C37" i="174"/>
  <c r="C36" i="174"/>
  <c r="C33" i="174"/>
  <c r="C34" i="174"/>
  <c r="C35" i="174"/>
  <c r="C32" i="174"/>
  <c r="C31" i="174"/>
  <c r="C30" i="174"/>
  <c r="D21" i="174"/>
  <c r="D17" i="174"/>
  <c r="C24" i="174"/>
  <c r="C23" i="174"/>
  <c r="C22" i="174"/>
  <c r="C21" i="174"/>
  <c r="C18" i="174"/>
  <c r="C19" i="174"/>
  <c r="C20" i="174"/>
  <c r="C17" i="174"/>
  <c r="C16" i="174"/>
  <c r="C15" i="174"/>
  <c r="D34" i="176" s="1" a="1"/>
  <c r="D34" i="176" s="1"/>
  <c r="C34" i="176" s="1"/>
  <c r="C7" i="174"/>
  <c r="C5" i="174"/>
  <c r="C4" i="174"/>
  <c r="D38" i="176" l="1" a="1"/>
  <c r="D38" i="176" s="1"/>
  <c r="C38" i="176" s="1"/>
  <c r="D43" i="176" a="1"/>
  <c r="D43" i="176" s="1"/>
  <c r="C43" i="176" s="1"/>
  <c r="D35" i="176" a="1"/>
  <c r="D35" i="176" s="1"/>
  <c r="C35" i="176" s="1"/>
  <c r="D37" i="176" a="1"/>
  <c r="D37" i="176" s="1"/>
  <c r="C37" i="176" s="1"/>
  <c r="D41" i="176" a="1"/>
  <c r="D41" i="176" s="1"/>
  <c r="C41" i="176" s="1"/>
  <c r="D36" i="176" a="1"/>
  <c r="D36" i="176" s="1"/>
  <c r="C36" i="176" s="1"/>
  <c r="D42" i="176" a="1"/>
  <c r="D42" i="176" s="1"/>
  <c r="C42" i="176" s="1"/>
  <c r="D39" i="176" a="1"/>
  <c r="D39" i="176" s="1"/>
  <c r="C39" i="176" s="1"/>
  <c r="D40" i="176" a="1"/>
  <c r="D40" i="176" s="1"/>
  <c r="C40" i="176" s="1"/>
  <c r="C6" i="174"/>
  <c r="E22" i="176" l="1"/>
  <c r="E24" i="176" s="1"/>
  <c r="D22" i="176"/>
  <c r="D24" i="176" s="1"/>
  <c r="C8" i="174"/>
  <c r="D57" i="174"/>
  <c r="C9" i="174"/>
  <c r="C64" i="86" l="1"/>
  <c r="C65" i="86"/>
  <c r="C66" i="86"/>
  <c r="C67" i="86"/>
  <c r="C68" i="86"/>
  <c r="C69" i="86"/>
  <c r="C70" i="86"/>
  <c r="C71" i="86"/>
  <c r="C72" i="86"/>
  <c r="C73" i="86"/>
  <c r="C74" i="86"/>
  <c r="C75" i="86"/>
  <c r="C76" i="86"/>
  <c r="C77" i="86"/>
  <c r="C78" i="86"/>
  <c r="C79" i="86"/>
  <c r="C80" i="86"/>
  <c r="C81" i="86"/>
  <c r="C82" i="86"/>
  <c r="C83" i="86"/>
  <c r="C84" i="86"/>
  <c r="C85" i="86"/>
  <c r="C86" i="86"/>
  <c r="C87" i="86"/>
  <c r="C63" i="86"/>
  <c r="C36" i="86"/>
  <c r="C37" i="86"/>
  <c r="C38" i="86"/>
  <c r="C39" i="86"/>
  <c r="C40" i="86"/>
  <c r="C41" i="86"/>
  <c r="C42" i="86"/>
  <c r="C43" i="86"/>
  <c r="C44" i="86"/>
  <c r="C45" i="86"/>
  <c r="C46" i="86"/>
  <c r="C47" i="86"/>
  <c r="C48" i="86"/>
  <c r="C49" i="86"/>
  <c r="C50" i="86"/>
  <c r="C51" i="86"/>
  <c r="C52" i="86"/>
  <c r="C53" i="86"/>
  <c r="C54" i="86"/>
  <c r="C55" i="86"/>
  <c r="C56" i="86"/>
  <c r="C57" i="86"/>
  <c r="C58" i="86"/>
  <c r="C59" i="86"/>
  <c r="C35" i="86"/>
  <c r="D27" i="68"/>
  <c r="E19" i="176" l="1" a="1"/>
  <c r="E19" i="176" s="1"/>
  <c r="D19" i="176" a="1"/>
  <c r="D19" i="176" s="1"/>
  <c r="D25" i="68" l="1"/>
  <c r="D36" i="68" l="1"/>
  <c r="D35" i="68" s="1"/>
  <c r="E18" i="176"/>
  <c r="E20" i="176" s="1"/>
  <c r="E26" i="176" s="1"/>
  <c r="D18" i="176"/>
  <c r="D20" i="176" s="1"/>
  <c r="D26" i="176" s="1"/>
  <c r="F28" i="176" l="1"/>
  <c r="D22" i="68" s="1"/>
  <c r="O42" i="86" l="1"/>
  <c r="M44" i="86" s="1"/>
  <c r="M36" i="86"/>
  <c r="J38" i="86"/>
  <c r="I39" i="86" s="1"/>
  <c r="M37" i="86"/>
  <c r="H42" i="86" s="1"/>
  <c r="L40" i="86"/>
  <c r="K41" i="86" s="1"/>
  <c r="V41" i="86" a="1"/>
  <c r="Z40" i="86" a="1"/>
  <c r="H36" i="86"/>
  <c r="G37" i="86" s="1"/>
  <c r="O50" i="86" a="1"/>
  <c r="P50" i="86" s="1"/>
  <c r="V40" i="86" a="1"/>
  <c r="O36" i="86" a="1"/>
  <c r="O37" i="86" a="1"/>
  <c r="P44" i="86" a="1"/>
  <c r="T50" i="86" l="1"/>
  <c r="O50" i="86"/>
  <c r="U44" i="86" s="1"/>
  <c r="F63" i="86" a="1"/>
  <c r="F63" i="86" s="1"/>
  <c r="S50" i="86"/>
  <c r="Z41" i="86"/>
  <c r="AC41" i="86"/>
  <c r="X41" i="86"/>
  <c r="V41" i="86"/>
  <c r="AA41" i="86"/>
  <c r="W41" i="86"/>
  <c r="Y41" i="86"/>
  <c r="AB41" i="86"/>
  <c r="AD41" i="86"/>
  <c r="S37" i="86"/>
  <c r="Q37" i="86"/>
  <c r="T37" i="86"/>
  <c r="O37" i="86"/>
  <c r="U37" i="86"/>
  <c r="P37" i="86"/>
  <c r="R37" i="86"/>
  <c r="Z40" i="86"/>
  <c r="AC40" i="86"/>
  <c r="AB40" i="86"/>
  <c r="AA40" i="86"/>
  <c r="AD40" i="86"/>
  <c r="W40" i="86"/>
  <c r="Y40" i="86"/>
  <c r="V40" i="86"/>
  <c r="X40" i="86"/>
  <c r="U36" i="86"/>
  <c r="R36" i="86"/>
  <c r="S36" i="86"/>
  <c r="O36" i="86"/>
  <c r="P36" i="86"/>
  <c r="T36" i="86"/>
  <c r="Q36" i="86"/>
  <c r="S44" i="86"/>
  <c r="P44" i="86"/>
  <c r="R44" i="86"/>
  <c r="Q44" i="86"/>
  <c r="T44" i="86"/>
  <c r="R50" i="86"/>
  <c r="Q50" i="86"/>
  <c r="G42" i="86"/>
  <c r="AD63" i="86" l="1"/>
  <c r="J67" i="86"/>
  <c r="N78" i="86"/>
  <c r="N87" i="86"/>
  <c r="P71" i="86"/>
  <c r="Z84" i="86"/>
  <c r="AC76" i="86"/>
  <c r="R64" i="86"/>
  <c r="AA71" i="86"/>
  <c r="Z75" i="86"/>
  <c r="T73" i="86"/>
  <c r="L77" i="86"/>
  <c r="AA87" i="86"/>
  <c r="Y75" i="86"/>
  <c r="M78" i="86"/>
  <c r="T81" i="86"/>
  <c r="I79" i="86"/>
  <c r="Y80" i="86"/>
  <c r="P72" i="86"/>
  <c r="N70" i="86"/>
  <c r="AB64" i="86"/>
  <c r="J72" i="86"/>
  <c r="F81" i="86"/>
  <c r="S84" i="86"/>
  <c r="R70" i="86"/>
  <c r="AA76" i="86"/>
  <c r="K70" i="86"/>
  <c r="K81" i="86"/>
  <c r="P69" i="86"/>
  <c r="K80" i="86"/>
  <c r="M75" i="86"/>
  <c r="Y86" i="86"/>
  <c r="Q65" i="86"/>
  <c r="AB80" i="86"/>
  <c r="K78" i="86"/>
  <c r="AA78" i="86"/>
  <c r="J86" i="86"/>
  <c r="AB79" i="86"/>
  <c r="L82" i="86"/>
  <c r="H73" i="86"/>
  <c r="G73" i="86"/>
  <c r="G66" i="86"/>
  <c r="W85" i="86"/>
  <c r="S69" i="86"/>
  <c r="S81" i="86"/>
  <c r="L69" i="86"/>
  <c r="AD68" i="86"/>
  <c r="V77" i="86"/>
  <c r="U73" i="86"/>
  <c r="V67" i="86"/>
  <c r="W78" i="86"/>
  <c r="O77" i="86"/>
  <c r="AC72" i="86"/>
  <c r="I66" i="86"/>
  <c r="AB85" i="86"/>
  <c r="F75" i="86"/>
  <c r="Z76" i="86"/>
  <c r="T77" i="86"/>
  <c r="Z73" i="86"/>
  <c r="Z70" i="86"/>
  <c r="H76" i="86"/>
  <c r="N67" i="86"/>
  <c r="R71" i="86"/>
  <c r="F66" i="86"/>
  <c r="U68" i="86"/>
  <c r="AC83" i="86"/>
  <c r="H74" i="86"/>
  <c r="W67" i="86"/>
  <c r="L86" i="86"/>
  <c r="M69" i="86"/>
  <c r="P70" i="86"/>
  <c r="Y81" i="86"/>
  <c r="I86" i="86"/>
  <c r="I72" i="86"/>
  <c r="H83" i="86"/>
  <c r="G77" i="86"/>
  <c r="W66" i="86"/>
  <c r="W75" i="86"/>
  <c r="Q81" i="86"/>
  <c r="W77" i="86"/>
  <c r="V74" i="86"/>
  <c r="Q87" i="86"/>
  <c r="O74" i="86"/>
  <c r="T68" i="86"/>
  <c r="X67" i="86"/>
  <c r="AB71" i="86"/>
  <c r="H68" i="86"/>
  <c r="X84" i="86"/>
  <c r="X79" i="86"/>
  <c r="O78" i="86"/>
  <c r="N75" i="86"/>
  <c r="T78" i="86"/>
  <c r="X75" i="86"/>
  <c r="T75" i="86"/>
  <c r="I81" i="86"/>
  <c r="AB81" i="86"/>
  <c r="I78" i="86"/>
  <c r="N81" i="86"/>
  <c r="U86" i="86"/>
  <c r="AA77" i="86"/>
  <c r="H84" i="86"/>
  <c r="W80" i="86"/>
  <c r="F86" i="86"/>
  <c r="V86" i="86"/>
  <c r="V81" i="86"/>
  <c r="P79" i="86"/>
  <c r="H86" i="86"/>
  <c r="R74" i="86"/>
  <c r="Z74" i="86"/>
  <c r="Q85" i="86"/>
  <c r="S73" i="86"/>
  <c r="P76" i="86"/>
  <c r="G82" i="86"/>
  <c r="Y63" i="86"/>
  <c r="S70" i="86"/>
  <c r="AA70" i="86"/>
  <c r="AD87" i="86"/>
  <c r="AD77" i="86"/>
  <c r="AD76" i="86"/>
  <c r="L72" i="86"/>
  <c r="H72" i="86"/>
  <c r="O83" i="86"/>
  <c r="M73" i="86"/>
  <c r="AC69" i="86"/>
  <c r="V69" i="86"/>
  <c r="L83" i="86"/>
  <c r="F69" i="86"/>
  <c r="N65" i="86"/>
  <c r="K65" i="86"/>
  <c r="J65" i="86"/>
  <c r="H81" i="86"/>
  <c r="L66" i="86"/>
  <c r="AC67" i="86"/>
  <c r="J74" i="86"/>
  <c r="J76" i="86"/>
  <c r="AB68" i="86"/>
  <c r="X71" i="86"/>
  <c r="Y71" i="86"/>
  <c r="N82" i="86"/>
  <c r="F71" i="86"/>
  <c r="V64" i="86"/>
  <c r="U64" i="86"/>
  <c r="G80" i="86"/>
  <c r="W69" i="86"/>
  <c r="I87" i="86"/>
  <c r="Y66" i="86"/>
  <c r="I83" i="86"/>
  <c r="AA68" i="86"/>
  <c r="R68" i="86"/>
  <c r="K85" i="86"/>
  <c r="Z69" i="86"/>
  <c r="AA86" i="86"/>
  <c r="Q73" i="86"/>
  <c r="W84" i="86"/>
  <c r="V79" i="86"/>
  <c r="X81" i="86"/>
  <c r="AC80" i="86"/>
  <c r="AB72" i="86"/>
  <c r="F85" i="86"/>
  <c r="U82" i="86"/>
  <c r="S86" i="86"/>
  <c r="S63" i="86"/>
  <c r="AA72" i="86"/>
  <c r="AB63" i="86"/>
  <c r="U80" i="86"/>
  <c r="S85" i="86"/>
  <c r="X87" i="86"/>
  <c r="Z83" i="86"/>
  <c r="Q84" i="86"/>
  <c r="O70" i="86"/>
  <c r="U69" i="86"/>
  <c r="AB69" i="86"/>
  <c r="L84" i="86"/>
  <c r="L85" i="86"/>
  <c r="X65" i="86"/>
  <c r="I65" i="86"/>
  <c r="H85" i="86"/>
  <c r="AD66" i="86"/>
  <c r="G67" i="86"/>
  <c r="F67" i="86"/>
  <c r="J63" i="86"/>
  <c r="N73" i="86"/>
  <c r="H71" i="86"/>
  <c r="M71" i="86"/>
  <c r="N76" i="86"/>
  <c r="O64" i="86"/>
  <c r="J64" i="86"/>
  <c r="G84" i="86"/>
  <c r="AA67" i="86"/>
  <c r="T66" i="86"/>
  <c r="O66" i="86"/>
  <c r="Z66" i="86"/>
  <c r="L68" i="86"/>
  <c r="F68" i="86"/>
  <c r="K76" i="86"/>
  <c r="AA64" i="86"/>
  <c r="T83" i="86"/>
  <c r="S87" i="86"/>
  <c r="X82" i="86"/>
  <c r="AB77" i="86"/>
  <c r="AA85" i="86"/>
  <c r="S82" i="86"/>
  <c r="AA84" i="86"/>
  <c r="Z79" i="86"/>
  <c r="Y82" i="86"/>
  <c r="V80" i="86"/>
  <c r="S76" i="86"/>
  <c r="S83" i="86"/>
  <c r="T76" i="86"/>
  <c r="V82" i="86"/>
  <c r="F77" i="86"/>
  <c r="Q72" i="86"/>
  <c r="F74" i="86"/>
  <c r="Q77" i="86"/>
  <c r="N80" i="86"/>
  <c r="W79" i="86"/>
  <c r="Q78" i="86"/>
  <c r="P82" i="86"/>
  <c r="M76" i="86"/>
  <c r="O87" i="86"/>
  <c r="AD78" i="86"/>
  <c r="J78" i="86"/>
  <c r="R78" i="86"/>
  <c r="U75" i="86"/>
  <c r="H78" i="86"/>
  <c r="J81" i="86"/>
  <c r="G81" i="86"/>
  <c r="G83" i="86"/>
  <c r="AC81" i="86"/>
  <c r="S77" i="86"/>
  <c r="Z77" i="86"/>
  <c r="J84" i="86"/>
  <c r="J80" i="86"/>
  <c r="T86" i="86"/>
  <c r="R86" i="86"/>
  <c r="K79" i="86"/>
  <c r="F79" i="86"/>
  <c r="T74" i="86"/>
  <c r="AC74" i="86"/>
  <c r="Q80" i="86"/>
  <c r="Q76" i="86"/>
  <c r="P84" i="86"/>
  <c r="K74" i="86"/>
  <c r="AC82" i="86"/>
  <c r="R87" i="86"/>
  <c r="M80" i="86"/>
  <c r="M63" i="86"/>
  <c r="H87" i="86"/>
  <c r="M87" i="86"/>
  <c r="W72" i="86"/>
  <c r="W87" i="86"/>
  <c r="AB70" i="86"/>
  <c r="O76" i="86"/>
  <c r="V70" i="86"/>
  <c r="O69" i="86"/>
  <c r="AA69" i="86"/>
  <c r="L80" i="86"/>
  <c r="L63" i="86"/>
  <c r="AC65" i="86"/>
  <c r="Z65" i="86"/>
  <c r="H65" i="86"/>
  <c r="M68" i="86"/>
  <c r="H67" i="86"/>
  <c r="L67" i="86"/>
  <c r="J75" i="86"/>
  <c r="G71" i="86"/>
  <c r="AC71" i="86"/>
  <c r="N84" i="86"/>
  <c r="N85" i="86"/>
  <c r="P64" i="86"/>
  <c r="L64" i="86"/>
  <c r="F64" i="86"/>
  <c r="H70" i="86"/>
  <c r="M66" i="86"/>
  <c r="P66" i="86"/>
  <c r="I76" i="86"/>
  <c r="V68" i="86"/>
  <c r="K82" i="86"/>
  <c r="H69" i="86"/>
  <c r="V71" i="86"/>
  <c r="U84" i="86"/>
  <c r="T72" i="86"/>
  <c r="AD73" i="86"/>
  <c r="AA83" i="86"/>
  <c r="R79" i="86"/>
  <c r="Z82" i="86"/>
  <c r="W68" i="86"/>
  <c r="U83" i="86"/>
  <c r="AC73" i="86"/>
  <c r="R80" i="86"/>
  <c r="R85" i="86"/>
  <c r="AA82" i="86"/>
  <c r="R76" i="86"/>
  <c r="AB82" i="86"/>
  <c r="V83" i="86"/>
  <c r="AC70" i="86"/>
  <c r="M72" i="86"/>
  <c r="O85" i="86"/>
  <c r="O84" i="86"/>
  <c r="W86" i="86"/>
  <c r="P77" i="86"/>
  <c r="F73" i="86"/>
  <c r="O73" i="86"/>
  <c r="AD83" i="86"/>
  <c r="O81" i="86"/>
  <c r="Y78" i="86"/>
  <c r="L78" i="86"/>
  <c r="S78" i="86"/>
  <c r="V78" i="86"/>
  <c r="X78" i="86"/>
  <c r="P81" i="86"/>
  <c r="X76" i="86"/>
  <c r="P83" i="86"/>
  <c r="V85" i="86"/>
  <c r="N77" i="86"/>
  <c r="T85" i="86"/>
  <c r="AD84" i="86"/>
  <c r="Z80" i="86"/>
  <c r="O86" i="86"/>
  <c r="AC75" i="86"/>
  <c r="AC79" i="86"/>
  <c r="V76" i="86"/>
  <c r="X74" i="86"/>
  <c r="Q74" i="86"/>
  <c r="Q83" i="86"/>
  <c r="Q75" i="86"/>
  <c r="V73" i="86"/>
  <c r="J82" i="86"/>
  <c r="W82" i="86"/>
  <c r="U72" i="86"/>
  <c r="M84" i="86"/>
  <c r="M85" i="86"/>
  <c r="G87" i="86"/>
  <c r="V87" i="86"/>
  <c r="Y72" i="86"/>
  <c r="P87" i="86"/>
  <c r="Z72" i="86"/>
  <c r="O75" i="86"/>
  <c r="Q68" i="86"/>
  <c r="L87" i="86"/>
  <c r="Q69" i="86"/>
  <c r="L79" i="86"/>
  <c r="L76" i="86"/>
  <c r="W65" i="86"/>
  <c r="AD65" i="86"/>
  <c r="V65" i="86"/>
  <c r="Y67" i="86"/>
  <c r="Z67" i="86"/>
  <c r="U67" i="86"/>
  <c r="R66" i="86"/>
  <c r="N71" i="86"/>
  <c r="L71" i="86"/>
  <c r="I71" i="86"/>
  <c r="N63" i="86"/>
  <c r="Y64" i="86"/>
  <c r="Q64" i="86"/>
  <c r="G86" i="86"/>
  <c r="N66" i="86"/>
  <c r="H66" i="86"/>
  <c r="I84" i="86"/>
  <c r="I75" i="86"/>
  <c r="J68" i="86"/>
  <c r="K83" i="86"/>
  <c r="P67" i="86"/>
  <c r="R75" i="86"/>
  <c r="F84" i="86"/>
  <c r="AD70" i="86"/>
  <c r="Y68" i="86"/>
  <c r="AA74" i="86"/>
  <c r="X86" i="86"/>
  <c r="Y73" i="86"/>
  <c r="O68" i="86"/>
  <c r="R83" i="86"/>
  <c r="U70" i="86"/>
  <c r="T87" i="86"/>
  <c r="U79" i="86"/>
  <c r="S72" i="86"/>
  <c r="U63" i="86"/>
  <c r="U87" i="86"/>
  <c r="V84" i="86"/>
  <c r="W71" i="86"/>
  <c r="L65" i="86"/>
  <c r="AC63" i="86"/>
  <c r="Y79" i="86"/>
  <c r="S74" i="86"/>
  <c r="P63" i="86"/>
  <c r="X70" i="86"/>
  <c r="AD82" i="86"/>
  <c r="K72" i="86"/>
  <c r="AB75" i="86"/>
  <c r="P78" i="86"/>
  <c r="AC78" i="86"/>
  <c r="W76" i="86"/>
  <c r="G78" i="86"/>
  <c r="G76" i="86"/>
  <c r="X63" i="86"/>
  <c r="R81" i="86"/>
  <c r="M83" i="86"/>
  <c r="AB86" i="86"/>
  <c r="M77" i="86"/>
  <c r="T63" i="86"/>
  <c r="Y84" i="86"/>
  <c r="W63" i="86"/>
  <c r="Z86" i="86"/>
  <c r="O79" i="86"/>
  <c r="J79" i="86"/>
  <c r="R77" i="86"/>
  <c r="P73" i="86"/>
  <c r="Y74" i="86"/>
  <c r="AB74" i="86"/>
  <c r="Q63" i="86"/>
  <c r="R73" i="86"/>
  <c r="M82" i="86"/>
  <c r="I82" i="86"/>
  <c r="I70" i="86"/>
  <c r="F70" i="86"/>
  <c r="Y87" i="86"/>
  <c r="AD80" i="86"/>
  <c r="F87" i="86"/>
  <c r="T70" i="86"/>
  <c r="L70" i="86"/>
  <c r="O72" i="86"/>
  <c r="O63" i="86"/>
  <c r="AC66" i="86"/>
  <c r="K64" i="86"/>
  <c r="J69" i="86"/>
  <c r="G69" i="86"/>
  <c r="L81" i="86"/>
  <c r="L75" i="86"/>
  <c r="P65" i="86"/>
  <c r="H80" i="86"/>
  <c r="AB65" i="86"/>
  <c r="S67" i="86"/>
  <c r="AD67" i="86"/>
  <c r="J85" i="86"/>
  <c r="X66" i="86"/>
  <c r="O71" i="86"/>
  <c r="Z71" i="86"/>
  <c r="N79" i="86"/>
  <c r="G64" i="86"/>
  <c r="Z64" i="86"/>
  <c r="AD64" i="86"/>
  <c r="X64" i="86"/>
  <c r="S66" i="86"/>
  <c r="J66" i="86"/>
  <c r="AB66" i="86"/>
  <c r="I63" i="86"/>
  <c r="G68" i="86"/>
  <c r="K84" i="86"/>
  <c r="H64" i="86"/>
  <c r="AB76" i="86"/>
  <c r="F80" i="86"/>
  <c r="Z68" i="86"/>
  <c r="AD72" i="86"/>
  <c r="AB73" i="86"/>
  <c r="X83" i="86"/>
  <c r="AC87" i="86"/>
  <c r="X77" i="86"/>
  <c r="R84" i="86"/>
  <c r="Y69" i="86"/>
  <c r="W70" i="86"/>
  <c r="AB83" i="86"/>
  <c r="R67" i="86"/>
  <c r="S79" i="86"/>
  <c r="R72" i="86"/>
  <c r="T80" i="86"/>
  <c r="T65" i="86"/>
  <c r="Z78" i="86"/>
  <c r="V75" i="86"/>
  <c r="AA75" i="86"/>
  <c r="I85" i="86"/>
  <c r="P75" i="86"/>
  <c r="Z81" i="86"/>
  <c r="AD81" i="86"/>
  <c r="Z85" i="86"/>
  <c r="Z63" i="86"/>
  <c r="AC77" i="86"/>
  <c r="H77" i="86"/>
  <c r="I77" i="86"/>
  <c r="AA63" i="86"/>
  <c r="N86" i="86"/>
  <c r="P86" i="86"/>
  <c r="T79" i="86"/>
  <c r="AD79" i="86"/>
  <c r="AD86" i="86"/>
  <c r="L73" i="86"/>
  <c r="Q86" i="86"/>
  <c r="AD74" i="86"/>
  <c r="W73" i="86"/>
  <c r="I73" i="86"/>
  <c r="Y77" i="86"/>
  <c r="Y85" i="86"/>
  <c r="J70" i="86"/>
  <c r="Y70" i="86"/>
  <c r="Z87" i="86"/>
  <c r="K87" i="86"/>
  <c r="AD85" i="86"/>
  <c r="O82" i="86"/>
  <c r="N74" i="86"/>
  <c r="G65" i="86"/>
  <c r="M64" i="86"/>
  <c r="X69" i="86"/>
  <c r="I69" i="86"/>
  <c r="R69" i="86"/>
  <c r="Y65" i="86"/>
  <c r="H82" i="86"/>
  <c r="AA65" i="86"/>
  <c r="F65" i="86"/>
  <c r="K67" i="86"/>
  <c r="Q67" i="86"/>
  <c r="J83" i="86"/>
  <c r="O65" i="86"/>
  <c r="U71" i="86"/>
  <c r="T71" i="86"/>
  <c r="J71" i="86"/>
  <c r="N83" i="86"/>
  <c r="T67" i="86"/>
  <c r="AC64" i="86"/>
  <c r="G74" i="86"/>
  <c r="G85" i="86"/>
  <c r="I67" i="86"/>
  <c r="V66" i="86"/>
  <c r="U66" i="86"/>
  <c r="I80" i="86"/>
  <c r="K73" i="86"/>
  <c r="K68" i="86"/>
  <c r="K63" i="86"/>
  <c r="G72" i="86"/>
  <c r="X85" i="86"/>
  <c r="F82" i="86"/>
  <c r="N72" i="86"/>
  <c r="M70" i="86"/>
  <c r="U78" i="86"/>
  <c r="AC84" i="86"/>
  <c r="K69" i="86"/>
  <c r="F78" i="86"/>
  <c r="X80" i="86"/>
  <c r="X68" i="86"/>
  <c r="W83" i="86"/>
  <c r="AB84" i="86"/>
  <c r="AA80" i="86"/>
  <c r="F83" i="86"/>
  <c r="P68" i="86"/>
  <c r="T82" i="86"/>
  <c r="T64" i="86"/>
  <c r="AB78" i="86"/>
  <c r="H75" i="86"/>
  <c r="S75" i="86"/>
  <c r="AC85" i="86"/>
  <c r="K75" i="86"/>
  <c r="U81" i="86"/>
  <c r="AA81" i="86"/>
  <c r="G75" i="86"/>
  <c r="M81" i="86"/>
  <c r="W81" i="86"/>
  <c r="J77" i="86"/>
  <c r="U77" i="86"/>
  <c r="P80" i="86"/>
  <c r="AC86" i="86"/>
  <c r="K86" i="86"/>
  <c r="G79" i="86"/>
  <c r="V63" i="86"/>
  <c r="M86" i="86"/>
  <c r="L74" i="86"/>
  <c r="P74" i="86"/>
  <c r="Q79" i="86"/>
  <c r="J73" i="86"/>
  <c r="P85" i="86"/>
  <c r="Y83" i="86"/>
  <c r="Y76" i="86"/>
  <c r="M74" i="86"/>
  <c r="M79" i="86"/>
  <c r="J87" i="86"/>
  <c r="AB87" i="86"/>
  <c r="AD75" i="86"/>
  <c r="Q70" i="86"/>
  <c r="V72" i="86"/>
  <c r="O80" i="86"/>
  <c r="F72" i="86"/>
  <c r="S65" i="86"/>
  <c r="AD69" i="86"/>
  <c r="T69" i="86"/>
  <c r="N69" i="86"/>
  <c r="U65" i="86"/>
  <c r="R65" i="86"/>
  <c r="H79" i="86"/>
  <c r="H63" i="86"/>
  <c r="AB67" i="86"/>
  <c r="M67" i="86"/>
  <c r="O67" i="86"/>
  <c r="I64" i="86"/>
  <c r="Q71" i="86"/>
  <c r="AD71" i="86"/>
  <c r="S71" i="86"/>
  <c r="K71" i="86"/>
  <c r="G70" i="86"/>
  <c r="W64" i="86"/>
  <c r="N64" i="86"/>
  <c r="G63" i="86"/>
  <c r="M65" i="86"/>
  <c r="Q66" i="86"/>
  <c r="I74" i="86"/>
  <c r="AA66" i="86"/>
  <c r="S68" i="86"/>
  <c r="I68" i="86"/>
  <c r="K77" i="86"/>
  <c r="S64" i="86"/>
  <c r="AA79" i="86"/>
  <c r="Q82" i="86"/>
  <c r="X72" i="86"/>
  <c r="U85" i="86"/>
  <c r="U76" i="86"/>
  <c r="S80" i="86"/>
  <c r="AC68" i="86"/>
  <c r="F76" i="86"/>
  <c r="U74" i="86"/>
  <c r="N68" i="86"/>
  <c r="R82" i="86"/>
  <c r="W74" i="86"/>
  <c r="X73" i="86"/>
  <c r="T84" i="86"/>
  <c r="K66" i="86"/>
  <c r="AA73" i="86"/>
  <c r="R63" i="86"/>
  <c r="H44" i="86"/>
  <c r="G44" i="86"/>
  <c r="F4" i="86" l="1" a="1"/>
  <c r="H13" i="86" s="1"/>
  <c r="F4" i="86" l="1"/>
  <c r="L9" i="86"/>
  <c r="U13" i="86"/>
  <c r="AD13" i="86"/>
  <c r="R11" i="86"/>
  <c r="O11" i="86"/>
  <c r="H5" i="86"/>
  <c r="K10" i="86"/>
  <c r="J7" i="86"/>
  <c r="M6" i="86"/>
  <c r="M5" i="86"/>
  <c r="H11" i="86"/>
  <c r="M13" i="86"/>
  <c r="I8" i="86"/>
  <c r="G6" i="86"/>
  <c r="U6" i="86"/>
  <c r="J12" i="86"/>
  <c r="AD9" i="86"/>
  <c r="G9" i="86"/>
  <c r="I6" i="86"/>
  <c r="I7" i="86"/>
  <c r="AA4" i="86"/>
  <c r="L4" i="86"/>
  <c r="X12" i="86"/>
  <c r="K9" i="86"/>
  <c r="N13" i="86"/>
  <c r="H12" i="86"/>
  <c r="AD4" i="86"/>
  <c r="P5" i="86"/>
  <c r="Z5" i="86"/>
  <c r="X13" i="86"/>
  <c r="S8" i="86"/>
  <c r="L10" i="86"/>
  <c r="N12" i="86"/>
  <c r="Z7" i="86"/>
  <c r="K12" i="86"/>
  <c r="AA6" i="86"/>
  <c r="W9" i="86"/>
  <c r="AD10" i="86"/>
  <c r="AD6" i="86"/>
  <c r="S11" i="86"/>
  <c r="H4" i="86"/>
  <c r="W5" i="86"/>
  <c r="AB10" i="86"/>
  <c r="U5" i="86"/>
  <c r="W4" i="86"/>
  <c r="F47" i="174" s="1" a="1"/>
  <c r="F47" i="174" s="1"/>
  <c r="C66" i="176" s="1"/>
  <c r="G8" i="86"/>
  <c r="Y10" i="86"/>
  <c r="H8" i="86"/>
  <c r="F7" i="86"/>
  <c r="W13" i="86"/>
  <c r="AC6" i="86"/>
  <c r="Y12" i="86"/>
  <c r="K4" i="86"/>
  <c r="M11" i="86"/>
  <c r="Y5" i="86"/>
  <c r="G11" i="86"/>
  <c r="N8" i="86"/>
  <c r="AD5" i="86"/>
  <c r="P4" i="86"/>
  <c r="F40" i="174" s="1" a="1"/>
  <c r="F40" i="174" s="1"/>
  <c r="C59" i="176" s="1"/>
  <c r="AC9" i="86"/>
  <c r="P10" i="86"/>
  <c r="L12" i="86"/>
  <c r="F9" i="86"/>
  <c r="R13" i="86"/>
  <c r="F6" i="86"/>
  <c r="O12" i="86"/>
  <c r="Z10" i="86"/>
  <c r="AD8" i="86"/>
  <c r="AA11" i="86"/>
  <c r="R5" i="86"/>
  <c r="N5" i="86"/>
  <c r="V12" i="86"/>
  <c r="F10" i="86"/>
  <c r="I4" i="86"/>
  <c r="F8" i="86"/>
  <c r="I11" i="86"/>
  <c r="L8" i="86"/>
  <c r="H9" i="86"/>
  <c r="Q11" i="86"/>
  <c r="Z6" i="86"/>
  <c r="F12" i="86"/>
  <c r="T6" i="86"/>
  <c r="P11" i="86"/>
  <c r="Q7" i="86"/>
  <c r="K13" i="86"/>
  <c r="X8" i="86"/>
  <c r="X5" i="86"/>
  <c r="J5" i="86"/>
  <c r="AA7" i="86"/>
  <c r="N11" i="86"/>
  <c r="I12" i="86"/>
  <c r="AA5" i="86"/>
  <c r="T5" i="86"/>
  <c r="S5" i="86"/>
  <c r="Z12" i="86"/>
  <c r="AB13" i="86"/>
  <c r="X9" i="86"/>
  <c r="T11" i="86"/>
  <c r="M9" i="86"/>
  <c r="G4" i="86"/>
  <c r="S4" i="86"/>
  <c r="N6" i="86"/>
  <c r="K6" i="86"/>
  <c r="I5" i="86"/>
  <c r="AB7" i="86"/>
  <c r="P9" i="86"/>
  <c r="AD12" i="86"/>
  <c r="W10" i="86"/>
  <c r="F13" i="86"/>
  <c r="Q5" i="86"/>
  <c r="F5" i="86"/>
  <c r="W7" i="86"/>
  <c r="R8" i="86"/>
  <c r="X4" i="86"/>
  <c r="P13" i="86"/>
  <c r="R7" i="86"/>
  <c r="Y7" i="86"/>
  <c r="Y13" i="86"/>
  <c r="J11" i="86"/>
  <c r="K8" i="86"/>
  <c r="AB5" i="86"/>
  <c r="AC10" i="86"/>
  <c r="V11" i="86"/>
  <c r="AB8" i="86"/>
  <c r="AC5" i="86"/>
  <c r="M4" i="86"/>
  <c r="F37" i="174" s="1" a="1"/>
  <c r="F37" i="174" s="1"/>
  <c r="C56" i="176" s="1"/>
  <c r="AA8" i="86"/>
  <c r="O13" i="86"/>
  <c r="R12" i="86"/>
  <c r="H7" i="86"/>
  <c r="AB4" i="86"/>
  <c r="J6" i="86"/>
  <c r="I13" i="86"/>
  <c r="Y4" i="86"/>
  <c r="AD11" i="86"/>
  <c r="S12" i="86"/>
  <c r="O9" i="86"/>
  <c r="Q13" i="86"/>
  <c r="Y8" i="86"/>
  <c r="AB9" i="86"/>
  <c r="U9" i="86"/>
  <c r="U4" i="86"/>
  <c r="Q4" i="86"/>
  <c r="F41" i="174" s="1" a="1"/>
  <c r="F41" i="174" s="1"/>
  <c r="C60" i="176" s="1"/>
  <c r="J10" i="86"/>
  <c r="V9" i="86"/>
  <c r="R9" i="86"/>
  <c r="T9" i="86"/>
  <c r="Y11" i="86"/>
  <c r="Q8" i="86"/>
  <c r="J13" i="86"/>
  <c r="N9" i="86"/>
  <c r="I10" i="86"/>
  <c r="M8" i="86"/>
  <c r="M7" i="86"/>
  <c r="AA9" i="86"/>
  <c r="S9" i="86"/>
  <c r="O4" i="86"/>
  <c r="F39" i="174" s="1" a="1"/>
  <c r="F39" i="174" s="1"/>
  <c r="C58" i="176" s="1"/>
  <c r="AB12" i="86"/>
  <c r="J9" i="86"/>
  <c r="J8" i="86"/>
  <c r="U12" i="86"/>
  <c r="K11" i="86"/>
  <c r="T4" i="86"/>
  <c r="U10" i="86"/>
  <c r="T8" i="86"/>
  <c r="U11" i="86"/>
  <c r="K5" i="86"/>
  <c r="Z8" i="86"/>
  <c r="V7" i="86"/>
  <c r="W11" i="86"/>
  <c r="R4" i="86"/>
  <c r="F42" i="174" s="1" a="1"/>
  <c r="F42" i="174" s="1"/>
  <c r="C61" i="176" s="1"/>
  <c r="AC13" i="86"/>
  <c r="G10" i="86"/>
  <c r="G12" i="86"/>
  <c r="S6" i="86"/>
  <c r="W6" i="86"/>
  <c r="AB11" i="86"/>
  <c r="X7" i="86"/>
  <c r="T7" i="86"/>
  <c r="AC4" i="86"/>
  <c r="R10" i="86"/>
  <c r="O8" i="86"/>
  <c r="P7" i="86"/>
  <c r="L13" i="86"/>
  <c r="V10" i="86"/>
  <c r="T10" i="86"/>
  <c r="P12" i="86"/>
  <c r="P6" i="86"/>
  <c r="W12" i="86"/>
  <c r="T12" i="86"/>
  <c r="H10" i="86"/>
  <c r="AA10" i="86"/>
  <c r="W8" i="86"/>
  <c r="L7" i="86"/>
  <c r="AD7" i="86"/>
  <c r="L11" i="86"/>
  <c r="O5" i="86"/>
  <c r="V5" i="86"/>
  <c r="Z4" i="86"/>
  <c r="K7" i="86"/>
  <c r="AC12" i="86"/>
  <c r="Y9" i="86"/>
  <c r="M10" i="86"/>
  <c r="N10" i="86"/>
  <c r="O6" i="86"/>
  <c r="J4" i="86"/>
  <c r="V13" i="86"/>
  <c r="S10" i="86"/>
  <c r="Z9" i="86"/>
  <c r="N4" i="86"/>
  <c r="G5" i="86"/>
  <c r="AC8" i="86"/>
  <c r="S7" i="86"/>
  <c r="O10" i="86"/>
  <c r="Q9" i="86"/>
  <c r="X10" i="86"/>
  <c r="O7" i="86"/>
  <c r="R6" i="86"/>
  <c r="AA12" i="86"/>
  <c r="X11" i="86"/>
  <c r="H6" i="86"/>
  <c r="I9" i="86"/>
  <c r="F11" i="86"/>
  <c r="P8" i="86"/>
  <c r="AC11" i="86"/>
  <c r="N7" i="86"/>
  <c r="X6" i="86"/>
  <c r="U8" i="86"/>
  <c r="Z11" i="86"/>
  <c r="V6" i="86"/>
  <c r="T13" i="86"/>
  <c r="Q10" i="86"/>
  <c r="V8" i="86"/>
  <c r="G7" i="86"/>
  <c r="AB6" i="86"/>
  <c r="Y6" i="86"/>
  <c r="L6" i="86"/>
  <c r="Q12" i="86"/>
  <c r="L5" i="86"/>
  <c r="AC7" i="86"/>
  <c r="Q6" i="86"/>
  <c r="Z13" i="86"/>
  <c r="M12" i="86"/>
  <c r="AA13" i="86"/>
  <c r="U7" i="86"/>
  <c r="S13" i="86"/>
  <c r="V4" i="86"/>
  <c r="G13" i="86"/>
  <c r="F38" i="176" l="1" a="1"/>
  <c r="F38" i="176" s="1"/>
  <c r="G38" i="176" a="1"/>
  <c r="G38" i="176" s="1"/>
  <c r="G43" i="176" a="1"/>
  <c r="G43" i="176" s="1"/>
  <c r="F43" i="176" a="1"/>
  <c r="F43" i="176" s="1"/>
  <c r="F39" i="176" a="1"/>
  <c r="F39" i="176" s="1"/>
  <c r="G39" i="176" a="1"/>
  <c r="G39" i="176" s="1"/>
  <c r="G41" i="176" a="1"/>
  <c r="G41" i="176" s="1"/>
  <c r="F41" i="176" a="1"/>
  <c r="F41" i="176" s="1"/>
  <c r="F35" i="176" a="1"/>
  <c r="F35" i="176" s="1"/>
  <c r="G35" i="176" a="1"/>
  <c r="G35" i="176" s="1"/>
  <c r="G42" i="176" a="1"/>
  <c r="G42" i="176" s="1"/>
  <c r="F42" i="176" a="1"/>
  <c r="F42" i="176" s="1"/>
  <c r="G36" i="176" a="1"/>
  <c r="G36" i="176" s="1"/>
  <c r="F36" i="176" a="1"/>
  <c r="F36" i="176" s="1"/>
  <c r="G37" i="176" a="1"/>
  <c r="G37" i="176" s="1"/>
  <c r="F37" i="176" a="1"/>
  <c r="F37" i="176" s="1"/>
  <c r="F40" i="176" a="1"/>
  <c r="F40" i="176" s="1"/>
  <c r="G40" i="176" a="1"/>
  <c r="G40" i="176" s="1"/>
  <c r="G34" i="176" a="1"/>
  <c r="G34" i="176" s="1"/>
  <c r="F34" i="176" a="1"/>
  <c r="F34" i="176" s="1"/>
  <c r="F16" i="174" a="1"/>
  <c r="F16" i="174" s="1"/>
  <c r="F20" i="174" a="1"/>
  <c r="F20" i="174" s="1"/>
  <c r="F34" i="174" a="1"/>
  <c r="F34" i="174" s="1"/>
  <c r="C53" i="176" s="1"/>
  <c r="F33" i="174" a="1"/>
  <c r="F33" i="174" s="1"/>
  <c r="C52" i="176" s="1"/>
  <c r="F21" i="174" a="1"/>
  <c r="F21" i="174" s="1"/>
  <c r="F19" i="174" a="1"/>
  <c r="F19" i="174" s="1"/>
  <c r="F32" i="174" a="1"/>
  <c r="F32" i="174" s="1"/>
  <c r="C51" i="176" s="1"/>
  <c r="F24" i="174" a="1"/>
  <c r="F24" i="174" s="1"/>
  <c r="F50" i="174" a="1"/>
  <c r="F50" i="174" s="1"/>
  <c r="C69" i="176" s="1"/>
  <c r="F22" i="174" a="1"/>
  <c r="F22" i="174" s="1"/>
  <c r="F49" i="174" a="1"/>
  <c r="F49" i="174" s="1"/>
  <c r="C68" i="176" s="1"/>
  <c r="F36" i="174" a="1"/>
  <c r="F36" i="174" s="1"/>
  <c r="C55" i="176" s="1"/>
  <c r="F51" i="174" a="1"/>
  <c r="F51" i="174" s="1"/>
  <c r="C70" i="176" s="1"/>
  <c r="F45" i="174" a="1"/>
  <c r="F45" i="174" s="1"/>
  <c r="C64" i="176" s="1"/>
  <c r="F31" i="174" a="1"/>
  <c r="F31" i="174" s="1"/>
  <c r="C50" i="176" s="1"/>
  <c r="F43" i="174" a="1"/>
  <c r="F43" i="174" s="1"/>
  <c r="C62" i="176" s="1"/>
  <c r="F35" i="174" a="1"/>
  <c r="F35" i="174" s="1"/>
  <c r="C54" i="176" s="1"/>
  <c r="F52" i="174" a="1"/>
  <c r="F52" i="174" s="1"/>
  <c r="C71" i="176" s="1"/>
  <c r="F54" i="174" a="1"/>
  <c r="F54" i="174" s="1"/>
  <c r="C73" i="176" s="1"/>
  <c r="F53" i="174" a="1"/>
  <c r="F53" i="174" s="1"/>
  <c r="C72" i="176" s="1"/>
  <c r="F44" i="174" a="1"/>
  <c r="F44" i="174" s="1"/>
  <c r="C63" i="176" s="1"/>
  <c r="F38" i="174" a="1"/>
  <c r="F38" i="174" s="1"/>
  <c r="C57" i="176" s="1"/>
  <c r="F23" i="174" a="1"/>
  <c r="F23" i="174" s="1"/>
  <c r="F17" i="174" a="1"/>
  <c r="F17" i="174" s="1"/>
  <c r="F18" i="174" a="1"/>
  <c r="F18" i="174" s="1"/>
  <c r="F46" i="174" a="1"/>
  <c r="F46" i="174" s="1"/>
  <c r="C65" i="176" s="1"/>
  <c r="F48" i="174" a="1"/>
  <c r="F48" i="174" s="1"/>
  <c r="C67" i="176" s="1"/>
  <c r="F15" i="174" a="1"/>
  <c r="F15" i="174" s="1"/>
  <c r="F30" i="174" a="1"/>
  <c r="F30" i="174" s="1"/>
  <c r="C49" i="176" s="1"/>
  <c r="E8" i="176" l="1"/>
  <c r="G47" i="174" a="1"/>
  <c r="G47" i="174" s="1"/>
  <c r="H47" i="174" s="1"/>
  <c r="G24" i="174" a="1"/>
  <c r="G24" i="174" s="1"/>
  <c r="H24" i="174" s="1"/>
  <c r="K24" i="174" s="1"/>
  <c r="N24" i="174" s="1"/>
  <c r="G23" i="174" a="1"/>
  <c r="G23" i="174" s="1"/>
  <c r="H23" i="174" s="1"/>
  <c r="K23" i="174" s="1"/>
  <c r="N23" i="174" s="1"/>
  <c r="G42" i="174" a="1"/>
  <c r="G42" i="174" s="1"/>
  <c r="H42" i="174" s="1"/>
  <c r="G38" i="174" a="1"/>
  <c r="G38" i="174" s="1"/>
  <c r="H38" i="174" s="1"/>
  <c r="G36" i="174" a="1"/>
  <c r="G36" i="174" s="1"/>
  <c r="H36" i="174" s="1"/>
  <c r="K36" i="174" s="1"/>
  <c r="N36" i="174" s="1"/>
  <c r="G49" i="174" a="1"/>
  <c r="G49" i="174" s="1"/>
  <c r="H49" i="174" s="1"/>
  <c r="D8" i="176"/>
  <c r="G54" i="174" a="1"/>
  <c r="G54" i="174" s="1"/>
  <c r="H54" i="174" s="1"/>
  <c r="G53" i="174" a="1"/>
  <c r="G53" i="174" s="1"/>
  <c r="H53" i="174" s="1"/>
  <c r="G22" i="174" a="1"/>
  <c r="G22" i="174" s="1"/>
  <c r="H22" i="174" s="1"/>
  <c r="G33" i="174" a="1"/>
  <c r="G33" i="174" s="1"/>
  <c r="H33" i="174" s="1"/>
  <c r="K33" i="174" s="1"/>
  <c r="N33" i="174" s="1"/>
  <c r="G21" i="174" a="1"/>
  <c r="G21" i="174" s="1"/>
  <c r="H21" i="174" s="1"/>
  <c r="G15" i="174" a="1"/>
  <c r="G15" i="174" s="1"/>
  <c r="H15" i="174" s="1"/>
  <c r="K15" i="174" s="1"/>
  <c r="N15" i="174" s="1"/>
  <c r="G52" i="174" a="1"/>
  <c r="G52" i="174" s="1"/>
  <c r="H52" i="174" s="1"/>
  <c r="G48" i="174" a="1"/>
  <c r="G48" i="174" s="1"/>
  <c r="H48" i="174" s="1"/>
  <c r="G35" i="174" a="1"/>
  <c r="G35" i="174" s="1"/>
  <c r="H35" i="174" s="1"/>
  <c r="K35" i="174" s="1"/>
  <c r="N35" i="174" s="1"/>
  <c r="G50" i="174" a="1"/>
  <c r="G50" i="174" s="1"/>
  <c r="H50" i="174" s="1"/>
  <c r="G34" i="174" a="1"/>
  <c r="G34" i="174" s="1"/>
  <c r="H34" i="174" s="1"/>
  <c r="K34" i="174" s="1"/>
  <c r="N34" i="174" s="1"/>
  <c r="G30" i="174" a="1"/>
  <c r="G30" i="174" s="1"/>
  <c r="H30" i="174" s="1"/>
  <c r="G43" i="174" a="1"/>
  <c r="G43" i="174" s="1"/>
  <c r="H43" i="174" s="1"/>
  <c r="I43" i="174" s="1"/>
  <c r="G40" i="174" a="1"/>
  <c r="G40" i="174" s="1"/>
  <c r="H40" i="174" s="1"/>
  <c r="G39" i="174" a="1"/>
  <c r="G39" i="174" s="1"/>
  <c r="H39" i="174" s="1"/>
  <c r="G31" i="174" a="1"/>
  <c r="G31" i="174" s="1"/>
  <c r="H31" i="174" s="1"/>
  <c r="G37" i="174" a="1"/>
  <c r="G37" i="174" s="1"/>
  <c r="H37" i="174" s="1"/>
  <c r="G20" i="174" a="1"/>
  <c r="G20" i="174" s="1"/>
  <c r="H20" i="174" s="1"/>
  <c r="K20" i="174" s="1"/>
  <c r="N20" i="174" s="1"/>
  <c r="G44" i="174" a="1"/>
  <c r="G44" i="174" s="1"/>
  <c r="H44" i="174" s="1"/>
  <c r="G46" i="174" a="1"/>
  <c r="G46" i="174" s="1"/>
  <c r="H46" i="174" s="1"/>
  <c r="D9" i="176"/>
  <c r="G45" i="174" a="1"/>
  <c r="G45" i="174" s="1"/>
  <c r="H45" i="174" s="1"/>
  <c r="G41" i="174" a="1"/>
  <c r="G41" i="174" s="1"/>
  <c r="H41" i="174" s="1"/>
  <c r="G32" i="174" a="1"/>
  <c r="G32" i="174" s="1"/>
  <c r="H32" i="174" s="1"/>
  <c r="G16" i="174" a="1"/>
  <c r="G16" i="174" s="1"/>
  <c r="H16" i="174" s="1"/>
  <c r="G17" i="174" a="1"/>
  <c r="G17" i="174" s="1"/>
  <c r="H17" i="174" s="1"/>
  <c r="G19" i="174" a="1"/>
  <c r="G19" i="174" s="1"/>
  <c r="H19" i="174" s="1"/>
  <c r="K19" i="174" s="1"/>
  <c r="N19" i="174" s="1"/>
  <c r="G18" i="174" a="1"/>
  <c r="G18" i="174" s="1"/>
  <c r="H18" i="174" s="1"/>
  <c r="K18" i="174" s="1"/>
  <c r="N18" i="174" s="1"/>
  <c r="G51" i="174" a="1"/>
  <c r="G51" i="174" s="1"/>
  <c r="H51" i="174" s="1"/>
  <c r="E9" i="176" l="1"/>
  <c r="E10" i="176" s="1"/>
  <c r="D10" i="176"/>
  <c r="K53" i="174"/>
  <c r="N53" i="174" s="1"/>
  <c r="K51" i="174"/>
  <c r="N51" i="174" s="1"/>
  <c r="K52" i="174"/>
  <c r="N52" i="174" s="1"/>
  <c r="K54" i="174"/>
  <c r="N54" i="174" s="1"/>
  <c r="K30" i="174"/>
  <c r="N30" i="174" s="1"/>
  <c r="K38" i="174"/>
  <c r="N38" i="174" s="1"/>
  <c r="I39" i="174"/>
  <c r="K46" i="174" s="1"/>
  <c r="N46" i="174" s="1"/>
  <c r="I17" i="174"/>
  <c r="K17" i="174" s="1"/>
  <c r="K16" i="174"/>
  <c r="N16" i="174" s="1"/>
  <c r="I21" i="174"/>
  <c r="K21" i="174"/>
  <c r="I32" i="174"/>
  <c r="K31" i="174" s="1"/>
  <c r="N31" i="174" s="1"/>
  <c r="K37" i="174"/>
  <c r="N37" i="174" s="1"/>
  <c r="K22" i="174" l="1"/>
  <c r="N22" i="174" s="1"/>
  <c r="K32" i="174"/>
  <c r="K49" i="174"/>
  <c r="N49" i="174" s="1"/>
  <c r="K44" i="174"/>
  <c r="N44" i="174" s="1"/>
  <c r="K40" i="174"/>
  <c r="N40" i="174" s="1"/>
  <c r="N17" i="174"/>
  <c r="L17" i="174"/>
  <c r="K50" i="174"/>
  <c r="N50" i="174" s="1"/>
  <c r="K42" i="174"/>
  <c r="N42" i="174" s="1"/>
  <c r="K45" i="174"/>
  <c r="N45" i="174" s="1"/>
  <c r="K41" i="174"/>
  <c r="N41" i="174" s="1"/>
  <c r="K48" i="174"/>
  <c r="N48" i="174" s="1"/>
  <c r="L32" i="174"/>
  <c r="N32" i="174"/>
  <c r="K43" i="174"/>
  <c r="K39" i="174"/>
  <c r="K47" i="174"/>
  <c r="N47" i="174" s="1"/>
  <c r="L21" i="174"/>
  <c r="N21" i="174"/>
  <c r="L39" i="174" l="1"/>
  <c r="N39" i="174"/>
  <c r="O21" i="174"/>
  <c r="N43" i="174"/>
  <c r="L43" i="174"/>
  <c r="O32" i="174"/>
  <c r="O17" i="174"/>
  <c r="O43" i="174" l="1"/>
  <c r="O39" i="174"/>
  <c r="D58" i="174"/>
  <c r="D59" i="174" s="1"/>
  <c r="R30" i="174" l="1"/>
  <c r="R41" i="174"/>
  <c r="R47" i="174"/>
  <c r="R31" i="174"/>
  <c r="R40" i="174"/>
  <c r="R34" i="174"/>
  <c r="R37" i="174"/>
  <c r="R15" i="174"/>
  <c r="R16" i="174"/>
  <c r="R48" i="174"/>
  <c r="R54" i="174"/>
  <c r="R38" i="174"/>
  <c r="R46" i="174"/>
  <c r="R53" i="174"/>
  <c r="R45" i="174"/>
  <c r="R19" i="174"/>
  <c r="R51" i="174"/>
  <c r="R24" i="174"/>
  <c r="R42" i="174"/>
  <c r="R20" i="174"/>
  <c r="R33" i="174"/>
  <c r="R49" i="174"/>
  <c r="R36" i="174"/>
  <c r="R35" i="174"/>
  <c r="R52" i="174"/>
  <c r="R44" i="174"/>
  <c r="R22" i="174"/>
  <c r="R23" i="174"/>
  <c r="R50" i="174"/>
  <c r="R18" i="174"/>
  <c r="Q35" i="174"/>
  <c r="H46" i="68" s="1"/>
  <c r="J46" i="68" s="1"/>
  <c r="Q34" i="174"/>
  <c r="H45" i="68" s="1"/>
  <c r="Q33" i="174"/>
  <c r="Q36" i="174"/>
  <c r="Q23" i="174"/>
  <c r="Q24" i="174"/>
  <c r="E43" i="176" s="1"/>
  <c r="Q20" i="174"/>
  <c r="E39" i="176" s="1"/>
  <c r="Q18" i="174"/>
  <c r="Q19" i="174"/>
  <c r="Q15" i="174"/>
  <c r="Q51" i="174"/>
  <c r="H51" i="68" s="1"/>
  <c r="J51" i="68" s="1"/>
  <c r="Q22" i="174"/>
  <c r="Q52" i="174"/>
  <c r="Q37" i="174"/>
  <c r="H48" i="68" s="1"/>
  <c r="J48" i="68" s="1"/>
  <c r="Q31" i="174"/>
  <c r="H42" i="68" s="1"/>
  <c r="J42" i="68" s="1"/>
  <c r="Q44" i="174"/>
  <c r="Q54" i="174"/>
  <c r="Q16" i="174"/>
  <c r="E35" i="176" s="1"/>
  <c r="Q53" i="174"/>
  <c r="Q49" i="174"/>
  <c r="Q46" i="174"/>
  <c r="Q38" i="174"/>
  <c r="Q30" i="174"/>
  <c r="Q17" i="174"/>
  <c r="Q48" i="174"/>
  <c r="Q21" i="174"/>
  <c r="F73" i="174" s="1"/>
  <c r="Q32" i="174"/>
  <c r="H43" i="68" s="1"/>
  <c r="J43" i="68" s="1"/>
  <c r="Q45" i="174"/>
  <c r="Q47" i="174"/>
  <c r="Q50" i="174"/>
  <c r="Q40" i="174"/>
  <c r="Q42" i="174"/>
  <c r="Q41" i="174"/>
  <c r="R39" i="174"/>
  <c r="I50" i="68" s="1"/>
  <c r="Q39" i="174"/>
  <c r="R43" i="174"/>
  <c r="R17" i="174"/>
  <c r="E43" i="68" s="1"/>
  <c r="Q43" i="174"/>
  <c r="R32" i="174"/>
  <c r="I43" i="68" s="1"/>
  <c r="R21" i="174"/>
  <c r="E47" i="68" s="1"/>
  <c r="H44" i="68"/>
  <c r="J44" i="68" s="1"/>
  <c r="H47" i="68"/>
  <c r="J47" i="68" s="1"/>
  <c r="H49" i="68"/>
  <c r="J49" i="68" s="1"/>
  <c r="H50" i="68"/>
  <c r="J50" i="68" s="1"/>
  <c r="E34" i="176" l="1"/>
  <c r="F71" i="174"/>
  <c r="F72" i="174"/>
  <c r="E41" i="176"/>
  <c r="F46" i="68"/>
  <c r="E40" i="176"/>
  <c r="E38" i="176"/>
  <c r="E37" i="176"/>
  <c r="E42" i="176"/>
  <c r="C70" i="174"/>
  <c r="E36" i="176"/>
  <c r="C69" i="174"/>
  <c r="F44" i="68"/>
  <c r="D62" i="174"/>
  <c r="D64" i="174" s="1"/>
  <c r="D33" i="68" s="1"/>
  <c r="F45" i="68"/>
  <c r="J45" i="68"/>
  <c r="D42" i="68"/>
  <c r="D41" i="68"/>
  <c r="F41" i="68" s="1"/>
  <c r="D20" i="68"/>
  <c r="D47" i="68"/>
  <c r="F47" i="68" s="1"/>
  <c r="D63" i="174"/>
  <c r="D49" i="68"/>
  <c r="F49" i="68" s="1"/>
  <c r="H41" i="68"/>
  <c r="J41" i="68" s="1"/>
  <c r="D5" i="176" a="1"/>
  <c r="D5" i="176" s="1"/>
  <c r="E5" i="176" a="1"/>
  <c r="E5" i="176" s="1"/>
  <c r="D43" i="68"/>
  <c r="D48" i="68"/>
  <c r="F48" i="68" s="1"/>
  <c r="D50" i="68"/>
  <c r="F50" i="68" s="1"/>
  <c r="F69" i="174" l="1"/>
  <c r="F42" i="68" s="1"/>
  <c r="F70" i="174"/>
  <c r="F43" i="68" s="1"/>
  <c r="E4" i="176" a="1"/>
  <c r="E4" i="176" s="1"/>
  <c r="E6" i="176" s="1"/>
  <c r="E12" i="176" s="1"/>
  <c r="D4" i="176" a="1"/>
  <c r="D4" i="176" s="1"/>
  <c r="D6" i="176" s="1"/>
  <c r="D12" i="176" s="1"/>
  <c r="D65" i="174"/>
  <c r="D32" i="68" s="1"/>
  <c r="F14" i="176" l="1"/>
  <c r="D21" i="6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<sst xmlns="http://schemas.openxmlformats.org/spreadsheetml/2006/main" count="1000" uniqueCount="200">
  <si>
    <t>GCA</t>
  </si>
  <si>
    <t>FZK Entry Baumgarten</t>
  </si>
  <si>
    <t>FZK Entry Oberkappel</t>
  </si>
  <si>
    <t>FZK Entry Überackern</t>
  </si>
  <si>
    <t>FZK Entry Moson</t>
  </si>
  <si>
    <t>FZK Entry Murfeld</t>
  </si>
  <si>
    <t>FZK Entry Petrzalka</t>
  </si>
  <si>
    <t>FZK Exit Baumgarten</t>
  </si>
  <si>
    <t>FZK Exit Oberkappel</t>
  </si>
  <si>
    <t>FZK Exit Murfeld</t>
  </si>
  <si>
    <t>FZK Exit Moson</t>
  </si>
  <si>
    <t>FZK Exit Verteilergebiet</t>
  </si>
  <si>
    <t>FZK Exit Überackern</t>
  </si>
  <si>
    <t>TAG</t>
  </si>
  <si>
    <t>FZK Entry Arnoldstein</t>
  </si>
  <si>
    <t>FZK Exit Arnoldstein</t>
  </si>
  <si>
    <t>DZK discount</t>
  </si>
  <si>
    <t>€</t>
  </si>
  <si>
    <t>Arnoldstein</t>
  </si>
  <si>
    <t>Entry</t>
  </si>
  <si>
    <t>Baumgarten</t>
  </si>
  <si>
    <t>Oberkappel</t>
  </si>
  <si>
    <t>Überackern</t>
  </si>
  <si>
    <t>Storage MAB</t>
  </si>
  <si>
    <t>TSO</t>
  </si>
  <si>
    <t>Type</t>
  </si>
  <si>
    <t>Exit</t>
  </si>
  <si>
    <t>FZK</t>
  </si>
  <si>
    <t>DZK</t>
  </si>
  <si>
    <t>Murfeld</t>
  </si>
  <si>
    <t>Petrzalka</t>
  </si>
  <si>
    <t>Verteilergebiet</t>
  </si>
  <si>
    <t>kWh/h</t>
  </si>
  <si>
    <t>km</t>
  </si>
  <si>
    <t>Mosonmagyarovar</t>
  </si>
  <si>
    <t>Auersthal</t>
  </si>
  <si>
    <t>Kirchberg</t>
  </si>
  <si>
    <t>Gr. Göttfritz</t>
  </si>
  <si>
    <t>Rainbach</t>
  </si>
  <si>
    <t>Bad Leonfelden</t>
  </si>
  <si>
    <t>Arnreith</t>
  </si>
  <si>
    <t>Baumgarten-PVS2</t>
  </si>
  <si>
    <t>Eggendorf</t>
  </si>
  <si>
    <t>Grafendorf</t>
  </si>
  <si>
    <t>St. Margarethen</t>
  </si>
  <si>
    <t>Weitendorf</t>
  </si>
  <si>
    <t>Sulmeck-Greith</t>
  </si>
  <si>
    <t>Ettendorf</t>
  </si>
  <si>
    <t>Waisenberg</t>
  </si>
  <si>
    <t>Ebenthal</t>
  </si>
  <si>
    <t>Finkenstein</t>
  </si>
  <si>
    <t>Storage 7-fields</t>
  </si>
  <si>
    <t>Total</t>
  </si>
  <si>
    <t>Cross</t>
  </si>
  <si>
    <t>Intra</t>
  </si>
  <si>
    <t>FZK Exit Petrzalka</t>
  </si>
  <si>
    <t>FZK Entry Verteilergebiet</t>
  </si>
  <si>
    <t>DZK Entry ÜA (OK)</t>
  </si>
  <si>
    <t>DZK Exit Verteilergebiet (Bmg)</t>
  </si>
  <si>
    <t>DZK Exit Verteilergebiet (OK)</t>
  </si>
  <si>
    <t>DZK Exit ÜA (OK)</t>
  </si>
  <si>
    <t>Entry Speicher MAB</t>
  </si>
  <si>
    <t>Exit Speicher MAB</t>
  </si>
  <si>
    <t>FZK Exit VG-Kärnten</t>
  </si>
  <si>
    <t>EUR/MWh</t>
  </si>
  <si>
    <t>DIR</t>
  </si>
  <si>
    <t>TYPE</t>
  </si>
  <si>
    <t>NAME</t>
  </si>
  <si>
    <t>UGS</t>
  </si>
  <si>
    <t>DZK Entry Arnoldstein (VG)</t>
  </si>
  <si>
    <t>%</t>
  </si>
  <si>
    <t>Configuration</t>
  </si>
  <si>
    <t>kWh</t>
  </si>
  <si>
    <t>Overall</t>
  </si>
  <si>
    <t>Distances to reference node BMGT [km]</t>
  </si>
  <si>
    <t xml:space="preserve">                                          Exit
                  Entry</t>
  </si>
  <si>
    <t>Storage</t>
  </si>
  <si>
    <t>Results overview</t>
  </si>
  <si>
    <t>Storage discount (exit)</t>
  </si>
  <si>
    <t>Baumgarten (Gas Connect Austria)</t>
  </si>
  <si>
    <t>Baumgarten (WAG)</t>
  </si>
  <si>
    <t>Überackern ABG (AT) / Überackern (DE)</t>
  </si>
  <si>
    <t>Überackern SUDAL (AT) / Überackern 2 (DE)</t>
  </si>
  <si>
    <t>Murfeld (AT) / Ceršak (SI)</t>
  </si>
  <si>
    <t>Domestic</t>
  </si>
  <si>
    <t>Wheeling</t>
  </si>
  <si>
    <t>Wheeling Überackern (interruptible)</t>
  </si>
  <si>
    <t>Allok</t>
  </si>
  <si>
    <t>Distribution Area</t>
  </si>
  <si>
    <t>Storage discount (entry)</t>
  </si>
  <si>
    <t>Rescaled tariff FZK</t>
  </si>
  <si>
    <t>Rescaled tariff DZK</t>
  </si>
  <si>
    <t>MWh</t>
  </si>
  <si>
    <t>ITC tariff share (paying TSO)</t>
  </si>
  <si>
    <t>2. Utilized Capacity (allocations)</t>
  </si>
  <si>
    <t>1. Forecasted Contracted Capacity</t>
  </si>
  <si>
    <t>1. Distances assuming star-topology (requires corrections)</t>
  </si>
  <si>
    <t>2. Exemptions from star topology</t>
  </si>
  <si>
    <t>3. Distances between E/X points (result from 1. &amp; 2. below)</t>
  </si>
  <si>
    <t>EUR</t>
  </si>
  <si>
    <t>Entry/Exit-Split</t>
  </si>
  <si>
    <t>1. Allowed revenues for capacity-based transmission tariffs</t>
  </si>
  <si>
    <t>Indicative 2025</t>
  </si>
  <si>
    <t>Entry share</t>
  </si>
  <si>
    <t>Exit share</t>
  </si>
  <si>
    <t>CWD</t>
  </si>
  <si>
    <t>cost share</t>
  </si>
  <si>
    <t>€/kWh/h/a</t>
  </si>
  <si>
    <t>CWD tariff FZK</t>
  </si>
  <si>
    <t>CWD tariff DZK</t>
  </si>
  <si>
    <t>forecasted capacity FZK</t>
  </si>
  <si>
    <t>forecasted capacity DZK</t>
  </si>
  <si>
    <t>Equalised tariff FZK</t>
  </si>
  <si>
    <t>Equalised tariff DZK</t>
  </si>
  <si>
    <t>2a. Tariff calculation Entry</t>
  </si>
  <si>
    <t>2a. (i) CWD tariffs</t>
  </si>
  <si>
    <t>2a. (ii) equalised tariffs</t>
  </si>
  <si>
    <t>2b. Tariff calculation Exit</t>
  </si>
  <si>
    <t>2b. (i) CWD tariffs</t>
  </si>
  <si>
    <t>2b. (ii) equalised tariffs</t>
  </si>
  <si>
    <t>2b. (iii) discounted tariffs</t>
  </si>
  <si>
    <t>2a. (iii) discounted tariffs</t>
  </si>
  <si>
    <t>Discounted tariff FZK</t>
  </si>
  <si>
    <t>Discounted tariff DZK</t>
  </si>
  <si>
    <t>3. Calculation of the rescaling factor</t>
  </si>
  <si>
    <t>Revenues before rescaling</t>
  </si>
  <si>
    <t>Total allowed revenues</t>
  </si>
  <si>
    <t>Rescaling factor</t>
  </si>
  <si>
    <t>Planned ITC</t>
  </si>
  <si>
    <t>Planned revenues GCA</t>
  </si>
  <si>
    <t>Planned revenues TAG</t>
  </si>
  <si>
    <t>Indicative volumes</t>
  </si>
  <si>
    <t>Cost driver</t>
  </si>
  <si>
    <t>km*kWh/h</t>
  </si>
  <si>
    <t>Entry revenues</t>
  </si>
  <si>
    <t>Exit revenues</t>
  </si>
  <si>
    <t>Total revenue</t>
  </si>
  <si>
    <t>Cost driver for Entry</t>
  </si>
  <si>
    <t>Cost driver for Exit</t>
  </si>
  <si>
    <t>Weighted tariff</t>
  </si>
  <si>
    <t>Cost driver total</t>
  </si>
  <si>
    <t>Ratio</t>
  </si>
  <si>
    <t>CWD intra</t>
  </si>
  <si>
    <t>CWD cross</t>
  </si>
  <si>
    <t>Cost allocation assessment (CAA) of capacity-based tariffs</t>
  </si>
  <si>
    <t>Cost allocation assessment (CAA) of commodity-based tariffs (flow-based charge)</t>
  </si>
  <si>
    <t>CAA commodity-based</t>
  </si>
  <si>
    <t>CAA capacity-based</t>
  </si>
  <si>
    <t>forecasted allocations</t>
  </si>
  <si>
    <t>km*MWh/h</t>
  </si>
  <si>
    <t>DZK relations (1 if DZK relation is established)</t>
  </si>
  <si>
    <t>GCA allowed revenues: capacity-based transmission tariffs</t>
  </si>
  <si>
    <t>TAG allowed revenues: capacity-based transmission tariffs</t>
  </si>
  <si>
    <t>TAG allowed revenues: commodity-based transmission tariffs</t>
  </si>
  <si>
    <t>GCA allowed revenues: commodity-based transmission tariffs</t>
  </si>
  <si>
    <t>CAA index (capacity-based tariffs)</t>
  </si>
  <si>
    <t>CAA index (commodity-based tariffs)</t>
  </si>
  <si>
    <t>ITC planned (GCA&gt;TAG)</t>
  </si>
  <si>
    <t>Total allowed revenues: capacity-based transmission tariffs</t>
  </si>
  <si>
    <t>Total allowed revenues: commodity-based transmission tariffs</t>
  </si>
  <si>
    <t>Inter-TSO compensation capacity-based tariffs</t>
  </si>
  <si>
    <t>Inter-TSO compensation commodity-based tariffs</t>
  </si>
  <si>
    <t>Flow-based charge</t>
  </si>
  <si>
    <t>Flow-based charge exit</t>
  </si>
  <si>
    <t>Flow-based charge entry</t>
  </si>
  <si>
    <t>Verteilergebiet Kärnten</t>
  </si>
  <si>
    <t>Indicative tariff results for tariff period 2025</t>
  </si>
  <si>
    <t>Interruptible</t>
  </si>
  <si>
    <t>EUR/kWh/h/a</t>
  </si>
  <si>
    <t>FZK tariff</t>
  </si>
  <si>
    <t>ex-ante discount</t>
  </si>
  <si>
    <t>Interruptible tariff</t>
  </si>
  <si>
    <t>4a. rescaled tariffs (rounded)</t>
  </si>
  <si>
    <t>4b. rescaled tariffs (rounded)</t>
  </si>
  <si>
    <t>Color key:</t>
  </si>
  <si>
    <t>Version: 21.12.2023</t>
  </si>
  <si>
    <t>All values and calculations in this file are non-binding and for information purposes only, use at own risk.</t>
  </si>
  <si>
    <t>Simplified tariff model pursuant Art. 30(2)(b) TAR NC</t>
  </si>
  <si>
    <t>tariff based on CWD ratios</t>
  </si>
  <si>
    <t>no tariff applicable</t>
  </si>
  <si>
    <t>tariff from CWD methodology incl. secondary adjustments</t>
  </si>
  <si>
    <t>interruptible tariff based on ex-ante discount</t>
  </si>
  <si>
    <t>interruptible tariff based on CWD ratios</t>
  </si>
  <si>
    <t>CAA calculation Entry</t>
  </si>
  <si>
    <t>CAA calculation Exit</t>
  </si>
  <si>
    <t>CAA capacity</t>
  </si>
  <si>
    <t>CAA commodity</t>
  </si>
  <si>
    <t>5. Calculation of the planned ITC based on final tariffs</t>
  </si>
  <si>
    <t>Please note that forecasted contracted capacity includes effects of multipliers, interruptible discounts and cross-border storage utilization</t>
  </si>
  <si>
    <t>E/X-split (Capacity): entry share</t>
  </si>
  <si>
    <t>E/X-Split (Commodity): entry share</t>
  </si>
  <si>
    <t>Eff. E/X Split (capacity-based tariffs)</t>
  </si>
  <si>
    <t>GCA allocations exit plan</t>
  </si>
  <si>
    <t>TAG allocations entry plan</t>
  </si>
  <si>
    <t>GCA allocations entry plan</t>
  </si>
  <si>
    <t>TAG allocations exit plan</t>
  </si>
  <si>
    <t>Storage Penta West</t>
  </si>
  <si>
    <t>Entry Speicher Penta West</t>
  </si>
  <si>
    <t>Exit Speicher Penta West</t>
  </si>
  <si>
    <t>Calculation of interruptible tariffs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</si>
</sst>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00"/>
    <numFmt numFmtId="167" formatCode="0.0%"/>
    <numFmt numFmtId="168" formatCode="###,###,##0.00"/>
    <numFmt numFmtId="169" formatCode="_-* #,##0.00\ [$€]_-;\-* #,##0.00\ [$€]_-;_-* &quot;-&quot;??\ [$€]_-;_-@_-"/>
    <numFmt numFmtId="170" formatCode="###,###,##0"/>
    <numFmt numFmtId="171" formatCode="###,###,##0.000"/>
    <numFmt numFmtId="172" formatCode="_-* #,##0\ _€_-;\-* #,##0\ _€_-;_-* &quot;-&quot;??\ _€_-;_-@_-"/>
    <numFmt numFmtId="173" formatCode="#,##0.000"/>
    <numFmt numFmtId="174" formatCode="0.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Arial"/>
      <family val="2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color indexed="8"/>
      <name val="Arial"/>
      <family val="2"/>
    </font>
    <font>
      <u/>
      <sz val="11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2"/>
      <color indexed="8"/>
      <name val="Calibri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color theme="1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color rgb="FF003366"/>
      <name val="Trebuchet MS"/>
      <family val="2"/>
    </font>
    <font>
      <i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BFBFBF"/>
        <bgColor indexed="64"/>
      </patternFill>
    </fill>
    <fill>
      <patternFill patternType="solid">
        <fgColor rgb="FFC6C6C6"/>
        <bgColor indexed="64"/>
      </patternFill>
    </fill>
    <fill>
      <patternFill patternType="solid">
        <fgColor indexed="26"/>
      </patternFill>
    </fill>
    <fill>
      <patternFill patternType="solid">
        <fgColor theme="0" tint="0.59996337778862885"/>
        <bgColor indexed="64"/>
      </patternFill>
    </fill>
    <fill>
      <patternFill patternType="solid">
        <fgColor rgb="FF2A3F8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A466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6D7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A4669"/>
      </left>
      <right style="thin">
        <color rgb="FF0A4669"/>
      </right>
      <top style="thin">
        <color rgb="FF0A4669"/>
      </top>
      <bottom style="thin">
        <color rgb="FF0A4669"/>
      </bottom>
      <diagonal/>
    </border>
    <border>
      <left style="thin">
        <color rgb="FF0A4669"/>
      </left>
      <right/>
      <top style="thin">
        <color rgb="FF0A4669"/>
      </top>
      <bottom style="thin">
        <color rgb="FF0A4669"/>
      </bottom>
      <diagonal/>
    </border>
    <border>
      <left style="thin">
        <color rgb="FF0A4669"/>
      </left>
      <right style="thin">
        <color rgb="FF0A4669"/>
      </right>
      <top/>
      <bottom style="thin">
        <color rgb="FF0A4669"/>
      </bottom>
      <diagonal/>
    </border>
    <border>
      <left/>
      <right/>
      <top style="thin">
        <color rgb="FF0A4669"/>
      </top>
      <bottom style="thin">
        <color rgb="FF0A466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A4669"/>
      </left>
      <right style="thin">
        <color rgb="FF0A4669"/>
      </right>
      <top style="thin">
        <color rgb="FF0A466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A4669"/>
      </left>
      <right style="thin">
        <color rgb="FF0A466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3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2" borderId="0" applyNumberFormat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7" fillId="0" borderId="0"/>
    <xf numFmtId="9" fontId="7" fillId="0" borderId="0" applyFont="0" applyFill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7" borderId="0" applyNumberFormat="0" applyBorder="0" applyAlignment="0" applyProtection="0"/>
    <xf numFmtId="0" fontId="15" fillId="24" borderId="13" applyNumberFormat="0" applyAlignment="0" applyProtection="0"/>
    <xf numFmtId="0" fontId="16" fillId="25" borderId="14" applyNumberFormat="0" applyAlignment="0" applyProtection="0"/>
    <xf numFmtId="0" fontId="17" fillId="0" borderId="0" applyNumberFormat="0" applyBorder="0" applyProtection="0"/>
    <xf numFmtId="14" fontId="17" fillId="0" borderId="0" applyBorder="0" applyProtection="0"/>
    <xf numFmtId="168" fontId="17" fillId="0" borderId="0" applyBorder="0" applyProtection="0">
      <alignment horizontal="right"/>
    </xf>
    <xf numFmtId="0" fontId="18" fillId="3" borderId="0" applyBorder="0" applyAlignment="0" applyProtection="0"/>
    <xf numFmtId="0" fontId="19" fillId="26" borderId="0" applyAlignment="0" applyProtection="0"/>
    <xf numFmtId="0" fontId="20" fillId="0" borderId="0" applyAlignment="0" applyProtection="0"/>
    <xf numFmtId="0" fontId="21" fillId="0" borderId="0"/>
    <xf numFmtId="44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27" borderId="0" applyNumberFormat="0" applyBorder="0" applyProtection="0">
      <alignment horizontal="left"/>
    </xf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0" applyNumberFormat="0" applyFill="0" applyBorder="0" applyAlignment="0" applyProtection="0"/>
    <xf numFmtId="14" fontId="28" fillId="0" borderId="0" applyBorder="0" applyProtection="0"/>
    <xf numFmtId="168" fontId="28" fillId="0" borderId="0" applyBorder="0" applyProtection="0"/>
    <xf numFmtId="170" fontId="28" fillId="0" borderId="0" applyBorder="0" applyProtection="0"/>
    <xf numFmtId="0" fontId="28" fillId="0" borderId="0" applyNumberFormat="0" applyBorder="0" applyProtection="0"/>
    <xf numFmtId="0" fontId="2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1" fillId="0" borderId="18" applyNumberFormat="0" applyFill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5" fontId="11" fillId="0" borderId="0"/>
    <xf numFmtId="0" fontId="32" fillId="28" borderId="19" applyNumberFormat="0" applyFont="0" applyAlignment="0" applyProtection="0"/>
    <xf numFmtId="170" fontId="17" fillId="0" borderId="0" applyBorder="0" applyProtection="0">
      <alignment horizontal="right"/>
    </xf>
    <xf numFmtId="0" fontId="33" fillId="24" borderId="20" applyNumberFormat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" fillId="0" borderId="0"/>
    <xf numFmtId="0" fontId="11" fillId="0" borderId="0"/>
    <xf numFmtId="0" fontId="11" fillId="0" borderId="0"/>
    <xf numFmtId="0" fontId="34" fillId="0" borderId="0"/>
    <xf numFmtId="0" fontId="1" fillId="0" borderId="0"/>
    <xf numFmtId="0" fontId="3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28" fillId="0" borderId="0" applyBorder="0" applyProtection="0"/>
    <xf numFmtId="171" fontId="17" fillId="0" borderId="0" applyBorder="0" applyProtection="0">
      <alignment horizontal="right"/>
    </xf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0" fontId="19" fillId="29" borderId="0" applyNumberFormat="0" applyAlignment="0" applyProtection="0"/>
    <xf numFmtId="0" fontId="20" fillId="0" borderId="0" applyNumberFormat="0" applyAlignment="0" applyProtection="0"/>
    <xf numFmtId="0" fontId="19" fillId="30" borderId="0" applyNumberFormat="0" applyBorder="0" applyAlignment="0" applyProtection="0"/>
    <xf numFmtId="0" fontId="38" fillId="0" borderId="0"/>
    <xf numFmtId="0" fontId="39" fillId="0" borderId="0" applyNumberFormat="0" applyFill="0" applyBorder="0" applyAlignment="0" applyProtection="0"/>
    <xf numFmtId="0" fontId="15" fillId="24" borderId="33" applyNumberFormat="0" applyAlignment="0" applyProtection="0"/>
    <xf numFmtId="0" fontId="30" fillId="11" borderId="33" applyNumberFormat="0" applyAlignment="0" applyProtection="0"/>
    <xf numFmtId="0" fontId="32" fillId="28" borderId="34" applyNumberFormat="0" applyFont="0" applyAlignment="0" applyProtection="0"/>
    <xf numFmtId="0" fontId="33" fillId="24" borderId="35" applyNumberFormat="0" applyAlignment="0" applyProtection="0"/>
    <xf numFmtId="0" fontId="37" fillId="0" borderId="36" applyNumberFormat="0" applyFill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0" fillId="11" borderId="33" applyNumberFormat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24" borderId="39" applyNumberFormat="0" applyAlignment="0" applyProtection="0"/>
    <xf numFmtId="0" fontId="30" fillId="11" borderId="39" applyNumberFormat="0" applyAlignment="0" applyProtection="0"/>
    <xf numFmtId="0" fontId="32" fillId="28" borderId="40" applyNumberFormat="0" applyFont="0" applyAlignment="0" applyProtection="0"/>
    <xf numFmtId="0" fontId="33" fillId="24" borderId="41" applyNumberFormat="0" applyAlignment="0" applyProtection="0"/>
    <xf numFmtId="0" fontId="37" fillId="0" borderId="42" applyNumberFormat="0" applyFill="0" applyAlignment="0" applyProtection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0" fontId="15" fillId="24" borderId="62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0" borderId="61" applyNumberFormat="0" applyFill="0" applyAlignment="0" applyProtection="0"/>
    <xf numFmtId="0" fontId="33" fillId="24" borderId="60" applyNumberFormat="0" applyAlignment="0" applyProtection="0"/>
    <xf numFmtId="0" fontId="32" fillId="28" borderId="59" applyNumberFormat="0" applyFont="0" applyAlignment="0" applyProtection="0"/>
    <xf numFmtId="0" fontId="15" fillId="24" borderId="58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7" fillId="0" borderId="65" applyNumberFormat="0" applyFill="0" applyAlignment="0" applyProtection="0"/>
    <xf numFmtId="0" fontId="15" fillId="24" borderId="62" applyNumberFormat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62" applyNumberFormat="0" applyAlignment="0" applyProtection="0"/>
    <xf numFmtId="0" fontId="33" fillId="24" borderId="64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28" borderId="63" applyNumberFormat="0" applyFont="0" applyAlignment="0" applyProtection="0"/>
    <xf numFmtId="0" fontId="30" fillId="11" borderId="58" applyNumberFormat="0" applyAlignment="0" applyProtection="0"/>
    <xf numFmtId="0" fontId="32" fillId="28" borderId="63" applyNumberFormat="0" applyFont="0" applyAlignment="0" applyProtection="0"/>
    <xf numFmtId="0" fontId="30" fillId="11" borderId="58" applyNumberFormat="0" applyAlignment="0" applyProtection="0"/>
    <xf numFmtId="43" fontId="7" fillId="0" borderId="0" applyFont="0" applyFill="0" applyBorder="0" applyAlignment="0" applyProtection="0"/>
    <xf numFmtId="0" fontId="15" fillId="24" borderId="58" applyNumberFormat="0" applyAlignment="0" applyProtection="0"/>
    <xf numFmtId="0" fontId="30" fillId="11" borderId="58" applyNumberFormat="0" applyAlignment="0" applyProtection="0"/>
    <xf numFmtId="0" fontId="32" fillId="28" borderId="59" applyNumberFormat="0" applyFont="0" applyAlignment="0" applyProtection="0"/>
    <xf numFmtId="0" fontId="33" fillId="24" borderId="60" applyNumberFormat="0" applyAlignment="0" applyProtection="0"/>
    <xf numFmtId="0" fontId="37" fillId="0" borderId="61" applyNumberFormat="0" applyFill="0" applyAlignment="0" applyProtection="0"/>
    <xf numFmtId="0" fontId="37" fillId="0" borderId="65" applyNumberFormat="0" applyFill="0" applyAlignment="0" applyProtection="0"/>
    <xf numFmtId="0" fontId="44" fillId="0" borderId="0"/>
    <xf numFmtId="0" fontId="1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24" borderId="69" applyNumberFormat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28" borderId="70" applyNumberFormat="0" applyFont="0" applyAlignment="0" applyProtection="0"/>
    <xf numFmtId="0" fontId="33" fillId="24" borderId="71" applyNumberFormat="0" applyAlignment="0" applyProtection="0"/>
    <xf numFmtId="0" fontId="37" fillId="0" borderId="72" applyNumberFormat="0" applyFill="0" applyAlignment="0" applyProtection="0"/>
    <xf numFmtId="0" fontId="15" fillId="24" borderId="69" applyNumberFormat="0" applyAlignment="0" applyProtection="0"/>
    <xf numFmtId="0" fontId="30" fillId="11" borderId="69" applyNumberFormat="0" applyAlignment="0" applyProtection="0"/>
    <xf numFmtId="0" fontId="32" fillId="28" borderId="70" applyNumberFormat="0" applyFont="0" applyAlignment="0" applyProtection="0"/>
    <xf numFmtId="0" fontId="33" fillId="24" borderId="71" applyNumberFormat="0" applyAlignment="0" applyProtection="0"/>
    <xf numFmtId="0" fontId="37" fillId="0" borderId="72" applyNumberFormat="0" applyFill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0" fillId="11" borderId="69" applyNumberFormat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24" borderId="69" applyNumberFormat="0" applyAlignment="0" applyProtection="0"/>
    <xf numFmtId="0" fontId="30" fillId="11" borderId="69" applyNumberFormat="0" applyAlignment="0" applyProtection="0"/>
    <xf numFmtId="0" fontId="32" fillId="28" borderId="70" applyNumberFormat="0" applyFont="0" applyAlignment="0" applyProtection="0"/>
    <xf numFmtId="0" fontId="33" fillId="24" borderId="71" applyNumberFormat="0" applyAlignment="0" applyProtection="0"/>
    <xf numFmtId="0" fontId="37" fillId="0" borderId="72" applyNumberFormat="0" applyFill="0" applyAlignment="0" applyProtection="0"/>
    <xf numFmtId="43" fontId="7" fillId="0" borderId="0" applyFont="0" applyFill="0" applyBorder="0" applyAlignment="0" applyProtection="0"/>
    <xf numFmtId="0" fontId="15" fillId="24" borderId="69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0" borderId="72" applyNumberFormat="0" applyFill="0" applyAlignment="0" applyProtection="0"/>
    <xf numFmtId="0" fontId="33" fillId="24" borderId="71" applyNumberFormat="0" applyAlignment="0" applyProtection="0"/>
    <xf numFmtId="0" fontId="32" fillId="28" borderId="70" applyNumberFormat="0" applyFont="0" applyAlignment="0" applyProtection="0"/>
    <xf numFmtId="0" fontId="15" fillId="24" borderId="69" applyNumberForma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37" fillId="0" borderId="72" applyNumberFormat="0" applyFill="0" applyAlignment="0" applyProtection="0"/>
    <xf numFmtId="0" fontId="15" fillId="24" borderId="69" applyNumberFormat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28" borderId="70" applyNumberFormat="0" applyFont="0" applyAlignment="0" applyProtection="0"/>
    <xf numFmtId="0" fontId="30" fillId="11" borderId="69" applyNumberFormat="0" applyAlignment="0" applyProtection="0"/>
    <xf numFmtId="0" fontId="32" fillId="28" borderId="70" applyNumberFormat="0" applyFont="0" applyAlignment="0" applyProtection="0"/>
    <xf numFmtId="0" fontId="30" fillId="11" borderId="69" applyNumberFormat="0" applyAlignment="0" applyProtection="0"/>
    <xf numFmtId="43" fontId="7" fillId="0" borderId="0" applyFont="0" applyFill="0" applyBorder="0" applyAlignment="0" applyProtection="0"/>
    <xf numFmtId="0" fontId="15" fillId="24" borderId="69" applyNumberFormat="0" applyAlignment="0" applyProtection="0"/>
    <xf numFmtId="0" fontId="30" fillId="11" borderId="69" applyNumberFormat="0" applyAlignment="0" applyProtection="0"/>
    <xf numFmtId="0" fontId="32" fillId="28" borderId="70" applyNumberFormat="0" applyFont="0" applyAlignment="0" applyProtection="0"/>
    <xf numFmtId="0" fontId="33" fillId="24" borderId="71" applyNumberFormat="0" applyAlignment="0" applyProtection="0"/>
    <xf numFmtId="0" fontId="37" fillId="0" borderId="72" applyNumberFormat="0" applyFill="0" applyAlignment="0" applyProtection="0"/>
    <xf numFmtId="0" fontId="37" fillId="0" borderId="72" applyNumberFormat="0" applyFill="0" applyAlignment="0" applyProtection="0"/>
  </cellStyleXfs>
  <cellXfs count="25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3" fontId="0" fillId="0" borderId="0" xfId="0" applyNumberFormat="1"/>
    <xf numFmtId="0" fontId="3" fillId="0" borderId="0" xfId="0" applyFont="1" applyAlignment="1">
      <alignment horizontal="center"/>
    </xf>
    <xf numFmtId="167" fontId="0" fillId="0" borderId="0" xfId="2" applyNumberFormat="1" applyFont="1"/>
    <xf numFmtId="0" fontId="3" fillId="0" borderId="0" xfId="0" applyFont="1" applyAlignment="1">
      <alignment horizontal="center" wrapText="1"/>
    </xf>
    <xf numFmtId="0" fontId="10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3" fontId="0" fillId="0" borderId="10" xfId="0" applyNumberFormat="1" applyBorder="1"/>
    <xf numFmtId="9" fontId="0" fillId="0" borderId="0" xfId="2" applyFont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/>
    </xf>
    <xf numFmtId="0" fontId="8" fillId="0" borderId="0" xfId="0" applyFont="1" applyAlignment="1">
      <alignment horizontal="right"/>
    </xf>
    <xf numFmtId="165" fontId="0" fillId="0" borderId="0" xfId="0" applyNumberFormat="1"/>
    <xf numFmtId="0" fontId="0" fillId="0" borderId="12" xfId="0" applyBorder="1" applyAlignment="1">
      <alignment horizontal="left"/>
    </xf>
    <xf numFmtId="1" fontId="0" fillId="0" borderId="0" xfId="0" applyNumberFormat="1"/>
    <xf numFmtId="166" fontId="0" fillId="0" borderId="0" xfId="0" applyNumberFormat="1"/>
    <xf numFmtId="0" fontId="41" fillId="0" borderId="0" xfId="0" applyFont="1" applyAlignment="1">
      <alignment horizontal="right" vertical="center"/>
    </xf>
    <xf numFmtId="0" fontId="42" fillId="0" borderId="0" xfId="0" applyFont="1" applyAlignment="1">
      <alignment horizontal="left" vertical="center"/>
    </xf>
    <xf numFmtId="0" fontId="4" fillId="36" borderId="0" xfId="0" applyFont="1" applyFill="1"/>
    <xf numFmtId="3" fontId="0" fillId="0" borderId="43" xfId="0" applyNumberFormat="1" applyBorder="1"/>
    <xf numFmtId="0" fontId="6" fillId="0" borderId="44" xfId="0" applyFont="1" applyBorder="1"/>
    <xf numFmtId="0" fontId="5" fillId="0" borderId="44" xfId="0" applyFont="1" applyBorder="1"/>
    <xf numFmtId="0" fontId="2" fillId="36" borderId="0" xfId="0" applyFont="1" applyFill="1"/>
    <xf numFmtId="0" fontId="5" fillId="34" borderId="0" xfId="0" applyFont="1" applyFill="1" applyAlignment="1">
      <alignment horizontal="left"/>
    </xf>
    <xf numFmtId="0" fontId="4" fillId="34" borderId="0" xfId="0" applyFont="1" applyFill="1"/>
    <xf numFmtId="0" fontId="42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2" fillId="36" borderId="44" xfId="0" applyFont="1" applyFill="1" applyBorder="1"/>
    <xf numFmtId="0" fontId="0" fillId="36" borderId="46" xfId="0" applyFill="1" applyBorder="1"/>
    <xf numFmtId="0" fontId="6" fillId="36" borderId="46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37" xfId="0" applyBorder="1"/>
    <xf numFmtId="0" fontId="0" fillId="0" borderId="6" xfId="0" applyBorder="1"/>
    <xf numFmtId="0" fontId="0" fillId="0" borderId="8" xfId="0" applyBorder="1"/>
    <xf numFmtId="174" fontId="0" fillId="0" borderId="0" xfId="0" applyNumberFormat="1"/>
    <xf numFmtId="0" fontId="3" fillId="0" borderId="0" xfId="0" applyFont="1" applyAlignment="1">
      <alignment horizontal="centerContinuous" wrapText="1"/>
    </xf>
    <xf numFmtId="0" fontId="8" fillId="0" borderId="0" xfId="0" applyFont="1" applyAlignment="1">
      <alignment wrapText="1"/>
    </xf>
    <xf numFmtId="0" fontId="9" fillId="0" borderId="37" xfId="0" applyFont="1" applyBorder="1"/>
    <xf numFmtId="0" fontId="9" fillId="0" borderId="6" xfId="0" applyFont="1" applyBorder="1"/>
    <xf numFmtId="0" fontId="9" fillId="0" borderId="8" xfId="0" applyFont="1" applyBorder="1"/>
    <xf numFmtId="0" fontId="0" fillId="0" borderId="48" xfId="0" applyBorder="1" applyAlignment="1">
      <alignment horizontal="center" textRotation="90"/>
    </xf>
    <xf numFmtId="174" fontId="6" fillId="0" borderId="28" xfId="0" applyNumberFormat="1" applyFont="1" applyBorder="1" applyAlignment="1">
      <alignment horizontal="right"/>
    </xf>
    <xf numFmtId="174" fontId="6" fillId="0" borderId="23" xfId="0" applyNumberFormat="1" applyFont="1" applyBorder="1" applyAlignment="1">
      <alignment horizontal="right"/>
    </xf>
    <xf numFmtId="174" fontId="6" fillId="0" borderId="24" xfId="0" applyNumberFormat="1" applyFont="1" applyBorder="1" applyAlignment="1">
      <alignment horizontal="right"/>
    </xf>
    <xf numFmtId="174" fontId="6" fillId="0" borderId="53" xfId="0" applyNumberFormat="1" applyFont="1" applyBorder="1" applyAlignment="1">
      <alignment horizontal="right"/>
    </xf>
    <xf numFmtId="174" fontId="6" fillId="0" borderId="50" xfId="0" applyNumberFormat="1" applyFont="1" applyBorder="1" applyAlignment="1">
      <alignment horizontal="right"/>
    </xf>
    <xf numFmtId="174" fontId="6" fillId="0" borderId="32" xfId="0" applyNumberFormat="1" applyFont="1" applyBorder="1" applyAlignment="1">
      <alignment horizontal="right"/>
    </xf>
    <xf numFmtId="174" fontId="6" fillId="0" borderId="10" xfId="0" applyNumberFormat="1" applyFont="1" applyBorder="1" applyAlignment="1">
      <alignment horizontal="right"/>
    </xf>
    <xf numFmtId="174" fontId="6" fillId="0" borderId="25" xfId="0" applyNumberFormat="1" applyFont="1" applyBorder="1" applyAlignment="1">
      <alignment horizontal="right"/>
    </xf>
    <xf numFmtId="174" fontId="6" fillId="0" borderId="5" xfId="0" applyNumberFormat="1" applyFont="1" applyBorder="1" applyAlignment="1">
      <alignment horizontal="right"/>
    </xf>
    <xf numFmtId="174" fontId="6" fillId="0" borderId="4" xfId="0" applyNumberFormat="1" applyFont="1" applyBorder="1" applyAlignment="1">
      <alignment horizontal="right"/>
    </xf>
    <xf numFmtId="174" fontId="6" fillId="0" borderId="30" xfId="0" applyNumberFormat="1" applyFont="1" applyBorder="1" applyAlignment="1">
      <alignment horizontal="right"/>
    </xf>
    <xf numFmtId="174" fontId="6" fillId="0" borderId="26" xfId="0" applyNumberFormat="1" applyFont="1" applyBorder="1" applyAlignment="1">
      <alignment horizontal="right"/>
    </xf>
    <xf numFmtId="174" fontId="6" fillId="0" borderId="27" xfId="0" applyNumberFormat="1" applyFont="1" applyBorder="1" applyAlignment="1">
      <alignment horizontal="right"/>
    </xf>
    <xf numFmtId="174" fontId="6" fillId="0" borderId="38" xfId="0" applyNumberFormat="1" applyFont="1" applyBorder="1" applyAlignment="1">
      <alignment horizontal="right"/>
    </xf>
    <xf numFmtId="174" fontId="6" fillId="0" borderId="48" xfId="0" applyNumberFormat="1" applyFont="1" applyBorder="1" applyAlignment="1">
      <alignment horizontal="right"/>
    </xf>
    <xf numFmtId="174" fontId="6" fillId="0" borderId="37" xfId="0" applyNumberFormat="1" applyFont="1" applyBorder="1" applyAlignment="1">
      <alignment horizontal="right"/>
    </xf>
    <xf numFmtId="174" fontId="6" fillId="0" borderId="51" xfId="0" applyNumberFormat="1" applyFont="1" applyBorder="1" applyAlignment="1">
      <alignment horizontal="right"/>
    </xf>
    <xf numFmtId="174" fontId="6" fillId="0" borderId="11" xfId="0" applyNumberFormat="1" applyFont="1" applyBorder="1" applyAlignment="1">
      <alignment horizontal="right"/>
    </xf>
    <xf numFmtId="174" fontId="6" fillId="0" borderId="8" xfId="0" applyNumberFormat="1" applyFont="1" applyBorder="1" applyAlignment="1">
      <alignment horizontal="right"/>
    </xf>
    <xf numFmtId="174" fontId="6" fillId="0" borderId="9" xfId="0" applyNumberFormat="1" applyFont="1" applyBorder="1" applyAlignment="1">
      <alignment horizontal="right"/>
    </xf>
    <xf numFmtId="174" fontId="6" fillId="0" borderId="52" xfId="0" applyNumberFormat="1" applyFont="1" applyBorder="1" applyAlignment="1">
      <alignment horizontal="right"/>
    </xf>
    <xf numFmtId="174" fontId="6" fillId="0" borderId="47" xfId="0" applyNumberFormat="1" applyFont="1" applyBorder="1" applyAlignment="1">
      <alignment horizontal="right"/>
    </xf>
    <xf numFmtId="174" fontId="6" fillId="0" borderId="49" xfId="0" applyNumberFormat="1" applyFont="1" applyBorder="1" applyAlignment="1">
      <alignment horizontal="right"/>
    </xf>
    <xf numFmtId="174" fontId="6" fillId="0" borderId="54" xfId="0" applyNumberFormat="1" applyFont="1" applyBorder="1" applyAlignment="1">
      <alignment horizontal="right"/>
    </xf>
    <xf numFmtId="174" fontId="6" fillId="0" borderId="55" xfId="0" applyNumberFormat="1" applyFont="1" applyBorder="1" applyAlignment="1">
      <alignment horizontal="right"/>
    </xf>
    <xf numFmtId="0" fontId="0" fillId="4" borderId="0" xfId="0" applyFill="1"/>
    <xf numFmtId="174" fontId="6" fillId="0" borderId="0" xfId="0" applyNumberFormat="1" applyFont="1" applyAlignment="1">
      <alignment horizontal="right"/>
    </xf>
    <xf numFmtId="0" fontId="0" fillId="0" borderId="4" xfId="0" applyBorder="1"/>
    <xf numFmtId="0" fontId="5" fillId="38" borderId="22" xfId="0" applyFont="1" applyFill="1" applyBorder="1" applyAlignment="1">
      <alignment horizontal="center"/>
    </xf>
    <xf numFmtId="3" fontId="4" fillId="34" borderId="0" xfId="0" applyNumberFormat="1" applyFont="1" applyFill="1"/>
    <xf numFmtId="172" fontId="6" fillId="0" borderId="0" xfId="1" quotePrefix="1" applyNumberFormat="1" applyFont="1" applyAlignment="1">
      <alignment horizontal="center"/>
    </xf>
    <xf numFmtId="9" fontId="10" fillId="0" borderId="0" xfId="0" applyNumberFormat="1" applyFont="1"/>
    <xf numFmtId="9" fontId="0" fillId="0" borderId="10" xfId="2" applyFont="1" applyBorder="1"/>
    <xf numFmtId="3" fontId="0" fillId="0" borderId="12" xfId="0" applyNumberFormat="1" applyBorder="1"/>
    <xf numFmtId="0" fontId="8" fillId="0" borderId="0" xfId="0" applyFont="1" applyAlignment="1">
      <alignment horizontal="center"/>
    </xf>
    <xf numFmtId="174" fontId="45" fillId="0" borderId="38" xfId="0" applyNumberFormat="1" applyFont="1" applyBorder="1"/>
    <xf numFmtId="174" fontId="45" fillId="0" borderId="7" xfId="0" applyNumberFormat="1" applyFont="1" applyBorder="1"/>
    <xf numFmtId="174" fontId="45" fillId="0" borderId="9" xfId="0" applyNumberFormat="1" applyFont="1" applyBorder="1"/>
    <xf numFmtId="174" fontId="0" fillId="0" borderId="66" xfId="0" applyNumberFormat="1" applyBorder="1"/>
    <xf numFmtId="174" fontId="0" fillId="0" borderId="68" xfId="0" applyNumberFormat="1" applyBorder="1"/>
    <xf numFmtId="174" fontId="0" fillId="0" borderId="45" xfId="0" applyNumberFormat="1" applyBorder="1"/>
    <xf numFmtId="167" fontId="0" fillId="0" borderId="10" xfId="0" applyNumberFormat="1" applyBorder="1" applyAlignment="1">
      <alignment horizontal="right"/>
    </xf>
    <xf numFmtId="3" fontId="45" fillId="0" borderId="6" xfId="0" applyNumberFormat="1" applyFont="1" applyBorder="1"/>
    <xf numFmtId="0" fontId="47" fillId="36" borderId="0" xfId="0" applyFont="1" applyFill="1" applyAlignment="1">
      <alignment horizontal="center"/>
    </xf>
    <xf numFmtId="0" fontId="48" fillId="36" borderId="0" xfId="0" applyFont="1" applyFill="1" applyAlignment="1">
      <alignment horizontal="center"/>
    </xf>
    <xf numFmtId="3" fontId="48" fillId="36" borderId="6" xfId="0" applyNumberFormat="1" applyFont="1" applyFill="1" applyBorder="1" applyAlignment="1">
      <alignment horizontal="center"/>
    </xf>
    <xf numFmtId="0" fontId="9" fillId="0" borderId="12" xfId="0" applyFont="1" applyBorder="1"/>
    <xf numFmtId="0" fontId="0" fillId="0" borderId="9" xfId="0" applyBorder="1"/>
    <xf numFmtId="173" fontId="3" fillId="0" borderId="43" xfId="0" applyNumberFormat="1" applyFont="1" applyBorder="1"/>
    <xf numFmtId="0" fontId="0" fillId="0" borderId="0" xfId="0" applyAlignment="1">
      <alignment wrapText="1"/>
    </xf>
    <xf numFmtId="9" fontId="0" fillId="0" borderId="0" xfId="0" applyNumberFormat="1"/>
    <xf numFmtId="167" fontId="6" fillId="0" borderId="0" xfId="2" applyNumberFormat="1" applyFont="1"/>
    <xf numFmtId="3" fontId="3" fillId="0" borderId="0" xfId="0" applyNumberFormat="1" applyFont="1" applyAlignment="1">
      <alignment horizontal="center" wrapText="1"/>
    </xf>
    <xf numFmtId="166" fontId="0" fillId="34" borderId="1" xfId="0" applyNumberFormat="1" applyFill="1" applyBorder="1"/>
    <xf numFmtId="166" fontId="0" fillId="34" borderId="2" xfId="0" applyNumberFormat="1" applyFill="1" applyBorder="1"/>
    <xf numFmtId="0" fontId="2" fillId="35" borderId="0" xfId="0" applyFont="1" applyFill="1"/>
    <xf numFmtId="0" fontId="2" fillId="5" borderId="0" xfId="0" applyFont="1" applyFill="1"/>
    <xf numFmtId="0" fontId="2" fillId="41" borderId="0" xfId="0" applyFont="1" applyFill="1"/>
    <xf numFmtId="166" fontId="0" fillId="34" borderId="3" xfId="0" applyNumberFormat="1" applyFill="1" applyBorder="1"/>
    <xf numFmtId="0" fontId="2" fillId="33" borderId="0" xfId="0" applyFont="1" applyFill="1"/>
    <xf numFmtId="166" fontId="0" fillId="32" borderId="1" xfId="0" applyNumberFormat="1" applyFill="1" applyBorder="1"/>
    <xf numFmtId="166" fontId="0" fillId="32" borderId="2" xfId="0" applyNumberFormat="1" applyFill="1" applyBorder="1"/>
    <xf numFmtId="166" fontId="0" fillId="34" borderId="73" xfId="0" applyNumberFormat="1" applyFill="1" applyBorder="1"/>
    <xf numFmtId="166" fontId="0" fillId="39" borderId="3" xfId="0" applyNumberFormat="1" applyFill="1" applyBorder="1"/>
    <xf numFmtId="166" fontId="0" fillId="37" borderId="1" xfId="0" applyNumberFormat="1" applyFill="1" applyBorder="1"/>
    <xf numFmtId="166" fontId="0" fillId="37" borderId="73" xfId="0" applyNumberFormat="1" applyFill="1" applyBorder="1"/>
    <xf numFmtId="166" fontId="0" fillId="37" borderId="2" xfId="0" applyNumberFormat="1" applyFill="1" applyBorder="1"/>
    <xf numFmtId="166" fontId="0" fillId="31" borderId="1" xfId="0" applyNumberFormat="1" applyFill="1" applyBorder="1"/>
    <xf numFmtId="166" fontId="0" fillId="31" borderId="73" xfId="0" applyNumberFormat="1" applyFill="1" applyBorder="1"/>
    <xf numFmtId="166" fontId="0" fillId="31" borderId="2" xfId="0" applyNumberFormat="1" applyFill="1" applyBorder="1"/>
    <xf numFmtId="165" fontId="43" fillId="0" borderId="0" xfId="0" applyNumberFormat="1" applyFont="1"/>
    <xf numFmtId="0" fontId="2" fillId="36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42" borderId="0" xfId="0" applyFont="1" applyFill="1"/>
    <xf numFmtId="166" fontId="0" fillId="0" borderId="0" xfId="0" applyNumberFormat="1" applyAlignment="1">
      <alignment horizontal="right"/>
    </xf>
    <xf numFmtId="173" fontId="0" fillId="0" borderId="0" xfId="0" applyNumberFormat="1"/>
    <xf numFmtId="3" fontId="0" fillId="0" borderId="48" xfId="0" applyNumberFormat="1" applyBorder="1"/>
    <xf numFmtId="3" fontId="0" fillId="0" borderId="11" xfId="0" applyNumberFormat="1" applyBorder="1"/>
    <xf numFmtId="3" fontId="0" fillId="0" borderId="67" xfId="0" applyNumberFormat="1" applyBorder="1"/>
    <xf numFmtId="0" fontId="2" fillId="40" borderId="0" xfId="0" applyFont="1" applyFill="1"/>
    <xf numFmtId="3" fontId="4" fillId="40" borderId="0" xfId="0" applyNumberFormat="1" applyFont="1" applyFill="1"/>
    <xf numFmtId="167" fontId="2" fillId="40" borderId="0" xfId="2" applyNumberFormat="1" applyFont="1" applyFill="1" applyBorder="1"/>
    <xf numFmtId="174" fontId="0" fillId="0" borderId="28" xfId="0" applyNumberFormat="1" applyBorder="1" applyAlignment="1">
      <alignment horizontal="right"/>
    </xf>
    <xf numFmtId="174" fontId="0" fillId="0" borderId="23" xfId="0" applyNumberFormat="1" applyBorder="1" applyAlignment="1">
      <alignment horizontal="right"/>
    </xf>
    <xf numFmtId="174" fontId="0" fillId="0" borderId="29" xfId="0" applyNumberFormat="1" applyBorder="1" applyAlignment="1">
      <alignment horizontal="right"/>
    </xf>
    <xf numFmtId="174" fontId="0" fillId="0" borderId="24" xfId="0" applyNumberFormat="1" applyBorder="1" applyAlignment="1">
      <alignment horizontal="right"/>
    </xf>
    <xf numFmtId="174" fontId="0" fillId="0" borderId="53" xfId="0" applyNumberFormat="1" applyBorder="1" applyAlignment="1">
      <alignment horizontal="right"/>
    </xf>
    <xf numFmtId="174" fontId="0" fillId="0" borderId="50" xfId="0" applyNumberFormat="1" applyBorder="1" applyAlignment="1">
      <alignment horizontal="right"/>
    </xf>
    <xf numFmtId="174" fontId="0" fillId="0" borderId="32" xfId="0" applyNumberFormat="1" applyBorder="1" applyAlignment="1">
      <alignment horizontal="right"/>
    </xf>
    <xf numFmtId="174" fontId="0" fillId="0" borderId="10" xfId="0" applyNumberFormat="1" applyBorder="1" applyAlignment="1">
      <alignment horizontal="right"/>
    </xf>
    <xf numFmtId="174" fontId="0" fillId="0" borderId="4" xfId="0" applyNumberFormat="1" applyBorder="1" applyAlignment="1">
      <alignment horizontal="right"/>
    </xf>
    <xf numFmtId="174" fontId="0" fillId="0" borderId="56" xfId="0" applyNumberFormat="1" applyBorder="1" applyAlignment="1">
      <alignment horizontal="right"/>
    </xf>
    <xf numFmtId="174" fontId="0" fillId="0" borderId="5" xfId="0" applyNumberFormat="1" applyBorder="1" applyAlignment="1">
      <alignment horizontal="right"/>
    </xf>
    <xf numFmtId="174" fontId="0" fillId="0" borderId="25" xfId="0" applyNumberFormat="1" applyBorder="1" applyAlignment="1">
      <alignment horizontal="right"/>
    </xf>
    <xf numFmtId="174" fontId="10" fillId="0" borderId="10" xfId="0" applyNumberFormat="1" applyFont="1" applyBorder="1" applyAlignment="1">
      <alignment horizontal="right"/>
    </xf>
    <xf numFmtId="174" fontId="0" fillId="0" borderId="11" xfId="0" applyNumberFormat="1" applyBorder="1" applyAlignment="1">
      <alignment horizontal="right"/>
    </xf>
    <xf numFmtId="174" fontId="0" fillId="0" borderId="48" xfId="0" applyNumberFormat="1" applyBorder="1" applyAlignment="1">
      <alignment horizontal="right"/>
    </xf>
    <xf numFmtId="174" fontId="0" fillId="0" borderId="57" xfId="0" applyNumberFormat="1" applyBorder="1" applyAlignment="1">
      <alignment horizontal="right"/>
    </xf>
    <xf numFmtId="174" fontId="0" fillId="0" borderId="38" xfId="0" applyNumberFormat="1" applyBorder="1" applyAlignment="1">
      <alignment horizontal="right"/>
    </xf>
    <xf numFmtId="174" fontId="0" fillId="0" borderId="30" xfId="0" applyNumberFormat="1" applyBorder="1" applyAlignment="1">
      <alignment horizontal="right"/>
    </xf>
    <xf numFmtId="174" fontId="10" fillId="0" borderId="31" xfId="0" applyNumberFormat="1" applyFont="1" applyBorder="1" applyAlignment="1">
      <alignment horizontal="right"/>
    </xf>
    <xf numFmtId="174" fontId="0" fillId="0" borderId="26" xfId="0" applyNumberFormat="1" applyBorder="1" applyAlignment="1">
      <alignment horizontal="right"/>
    </xf>
    <xf numFmtId="174" fontId="0" fillId="0" borderId="27" xfId="0" applyNumberFormat="1" applyBorder="1" applyAlignment="1">
      <alignment horizontal="right"/>
    </xf>
    <xf numFmtId="174" fontId="0" fillId="0" borderId="37" xfId="0" applyNumberFormat="1" applyBorder="1" applyAlignment="1">
      <alignment horizontal="right"/>
    </xf>
    <xf numFmtId="174" fontId="0" fillId="0" borderId="51" xfId="0" applyNumberFormat="1" applyBorder="1" applyAlignment="1">
      <alignment horizontal="right"/>
    </xf>
    <xf numFmtId="174" fontId="10" fillId="0" borderId="11" xfId="0" applyNumberFormat="1" applyFont="1" applyBorder="1" applyAlignment="1">
      <alignment horizontal="right"/>
    </xf>
    <xf numFmtId="174" fontId="10" fillId="0" borderId="8" xfId="0" applyNumberFormat="1" applyFont="1" applyBorder="1" applyAlignment="1">
      <alignment horizontal="right"/>
    </xf>
    <xf numFmtId="174" fontId="10" fillId="0" borderId="24" xfId="0" applyNumberFormat="1" applyFont="1" applyBorder="1" applyAlignment="1">
      <alignment horizontal="right"/>
    </xf>
    <xf numFmtId="174" fontId="0" fillId="0" borderId="9" xfId="0" applyNumberFormat="1" applyBorder="1" applyAlignment="1">
      <alignment horizontal="right"/>
    </xf>
    <xf numFmtId="174" fontId="0" fillId="0" borderId="52" xfId="0" applyNumberFormat="1" applyBorder="1" applyAlignment="1">
      <alignment horizontal="right"/>
    </xf>
    <xf numFmtId="174" fontId="9" fillId="0" borderId="32" xfId="0" applyNumberFormat="1" applyFont="1" applyBorder="1" applyAlignment="1">
      <alignment horizontal="right"/>
    </xf>
    <xf numFmtId="174" fontId="9" fillId="0" borderId="10" xfId="0" applyNumberFormat="1" applyFont="1" applyBorder="1" applyAlignment="1">
      <alignment horizontal="right"/>
    </xf>
    <xf numFmtId="174" fontId="9" fillId="0" borderId="4" xfId="0" applyNumberFormat="1" applyFont="1" applyBorder="1" applyAlignment="1">
      <alignment horizontal="right"/>
    </xf>
    <xf numFmtId="174" fontId="9" fillId="0" borderId="25" xfId="0" applyNumberFormat="1" applyFont="1" applyBorder="1" applyAlignment="1">
      <alignment horizontal="right"/>
    </xf>
    <xf numFmtId="174" fontId="9" fillId="0" borderId="5" xfId="0" applyNumberFormat="1" applyFont="1" applyBorder="1" applyAlignment="1">
      <alignment horizontal="right"/>
    </xf>
    <xf numFmtId="174" fontId="0" fillId="0" borderId="47" xfId="0" applyNumberFormat="1" applyBorder="1" applyAlignment="1">
      <alignment horizontal="right"/>
    </xf>
    <xf numFmtId="174" fontId="10" fillId="0" borderId="30" xfId="0" applyNumberFormat="1" applyFont="1" applyBorder="1" applyAlignment="1">
      <alignment horizontal="right"/>
    </xf>
    <xf numFmtId="174" fontId="0" fillId="0" borderId="49" xfId="0" applyNumberFormat="1" applyBorder="1" applyAlignment="1">
      <alignment horizontal="right"/>
    </xf>
    <xf numFmtId="174" fontId="9" fillId="0" borderId="28" xfId="0" applyNumberFormat="1" applyFont="1" applyBorder="1" applyAlignment="1">
      <alignment horizontal="right"/>
    </xf>
    <xf numFmtId="174" fontId="9" fillId="0" borderId="23" xfId="0" applyNumberFormat="1" applyFont="1" applyBorder="1" applyAlignment="1">
      <alignment horizontal="right"/>
    </xf>
    <xf numFmtId="174" fontId="9" fillId="0" borderId="24" xfId="0" applyNumberFormat="1" applyFont="1" applyBorder="1" applyAlignment="1">
      <alignment horizontal="right"/>
    </xf>
    <xf numFmtId="174" fontId="9" fillId="0" borderId="9" xfId="0" applyNumberFormat="1" applyFont="1" applyBorder="1" applyAlignment="1">
      <alignment horizontal="right"/>
    </xf>
    <xf numFmtId="174" fontId="9" fillId="0" borderId="11" xfId="0" applyNumberFormat="1" applyFont="1" applyBorder="1" applyAlignment="1">
      <alignment horizontal="right"/>
    </xf>
    <xf numFmtId="174" fontId="9" fillId="0" borderId="8" xfId="0" applyNumberFormat="1" applyFont="1" applyBorder="1" applyAlignment="1">
      <alignment horizontal="right"/>
    </xf>
    <xf numFmtId="174" fontId="9" fillId="0" borderId="30" xfId="0" applyNumberFormat="1" applyFont="1" applyBorder="1" applyAlignment="1">
      <alignment horizontal="right"/>
    </xf>
    <xf numFmtId="174" fontId="9" fillId="0" borderId="26" xfId="0" applyNumberFormat="1" applyFont="1" applyBorder="1" applyAlignment="1">
      <alignment horizontal="right"/>
    </xf>
    <xf numFmtId="174" fontId="9" fillId="0" borderId="27" xfId="0" applyNumberFormat="1" applyFont="1" applyBorder="1" applyAlignment="1">
      <alignment horizontal="right"/>
    </xf>
    <xf numFmtId="174" fontId="9" fillId="0" borderId="54" xfId="0" applyNumberFormat="1" applyFont="1" applyBorder="1" applyAlignment="1">
      <alignment horizontal="right"/>
    </xf>
    <xf numFmtId="174" fontId="9" fillId="0" borderId="55" xfId="0" applyNumberFormat="1" applyFont="1" applyBorder="1" applyAlignment="1">
      <alignment horizontal="right"/>
    </xf>
    <xf numFmtId="1" fontId="6" fillId="0" borderId="28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" fontId="6" fillId="0" borderId="53" xfId="0" applyNumberFormat="1" applyFont="1" applyBorder="1" applyAlignment="1">
      <alignment horizontal="center"/>
    </xf>
    <xf numFmtId="1" fontId="6" fillId="0" borderId="50" xfId="0" applyNumberFormat="1" applyFont="1" applyBorder="1" applyAlignment="1">
      <alignment horizontal="center"/>
    </xf>
    <xf numFmtId="1" fontId="6" fillId="0" borderId="32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30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1" fontId="6" fillId="0" borderId="38" xfId="0" applyNumberFormat="1" applyFont="1" applyBorder="1" applyAlignment="1">
      <alignment horizontal="center"/>
    </xf>
    <xf numFmtId="1" fontId="6" fillId="0" borderId="48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1" fontId="6" fillId="0" borderId="5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" fontId="6" fillId="0" borderId="52" xfId="0" applyNumberFormat="1" applyFont="1" applyBorder="1" applyAlignment="1">
      <alignment horizontal="center"/>
    </xf>
    <xf numFmtId="1" fontId="6" fillId="0" borderId="32" xfId="0" applyNumberFormat="1" applyFont="1" applyBorder="1" applyAlignment="1">
      <alignment horizontal="right"/>
    </xf>
    <xf numFmtId="1" fontId="6" fillId="0" borderId="10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25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1" fontId="6" fillId="0" borderId="47" xfId="0" applyNumberFormat="1" applyFont="1" applyBorder="1" applyAlignment="1">
      <alignment horizontal="right"/>
    </xf>
    <xf numFmtId="1" fontId="6" fillId="0" borderId="48" xfId="0" applyNumberFormat="1" applyFont="1" applyBorder="1" applyAlignment="1">
      <alignment horizontal="right"/>
    </xf>
    <xf numFmtId="1" fontId="6" fillId="0" borderId="37" xfId="0" applyNumberFormat="1" applyFont="1" applyBorder="1" applyAlignment="1">
      <alignment horizontal="right"/>
    </xf>
    <xf numFmtId="1" fontId="6" fillId="0" borderId="30" xfId="0" applyNumberFormat="1" applyFont="1" applyBorder="1" applyAlignment="1">
      <alignment horizontal="right"/>
    </xf>
    <xf numFmtId="1" fontId="6" fillId="0" borderId="26" xfId="0" applyNumberFormat="1" applyFont="1" applyBorder="1" applyAlignment="1">
      <alignment horizontal="right"/>
    </xf>
    <xf numFmtId="1" fontId="6" fillId="0" borderId="27" xfId="0" applyNumberFormat="1" applyFont="1" applyBorder="1" applyAlignment="1">
      <alignment horizontal="right"/>
    </xf>
    <xf numFmtId="1" fontId="6" fillId="0" borderId="38" xfId="0" applyNumberFormat="1" applyFont="1" applyBorder="1" applyAlignment="1">
      <alignment horizontal="right"/>
    </xf>
    <xf numFmtId="1" fontId="6" fillId="0" borderId="49" xfId="0" applyNumberFormat="1" applyFont="1" applyBorder="1" applyAlignment="1">
      <alignment horizontal="right"/>
    </xf>
    <xf numFmtId="1" fontId="6" fillId="0" borderId="28" xfId="0" applyNumberFormat="1" applyFont="1" applyBorder="1" applyAlignment="1">
      <alignment horizontal="right"/>
    </xf>
    <xf numFmtId="1" fontId="6" fillId="0" borderId="23" xfId="0" applyNumberFormat="1" applyFont="1" applyBorder="1" applyAlignment="1">
      <alignment horizontal="right"/>
    </xf>
    <xf numFmtId="1" fontId="6" fillId="0" borderId="24" xfId="0" applyNumberFormat="1" applyFont="1" applyBorder="1" applyAlignment="1">
      <alignment horizontal="right"/>
    </xf>
    <xf numFmtId="1" fontId="6" fillId="0" borderId="9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right"/>
    </xf>
    <xf numFmtId="1" fontId="6" fillId="0" borderId="54" xfId="0" applyNumberFormat="1" applyFont="1" applyBorder="1" applyAlignment="1">
      <alignment horizontal="right"/>
    </xf>
    <xf numFmtId="1" fontId="6" fillId="0" borderId="55" xfId="0" applyNumberFormat="1" applyFont="1" applyBorder="1" applyAlignment="1">
      <alignment horizontal="right"/>
    </xf>
    <xf numFmtId="3" fontId="2" fillId="40" borderId="0" xfId="0" applyNumberFormat="1" applyFont="1" applyFill="1" applyAlignment="1">
      <alignment horizontal="centerContinuous"/>
    </xf>
    <xf numFmtId="0" fontId="6" fillId="0" borderId="44" xfId="0" applyFont="1" applyBorder="1" applyAlignment="1">
      <alignment wrapText="1"/>
    </xf>
    <xf numFmtId="3" fontId="3" fillId="0" borderId="43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2" fontId="5" fillId="0" borderId="10" xfId="0" applyNumberFormat="1" applyFont="1" applyBorder="1"/>
    <xf numFmtId="0" fontId="5" fillId="34" borderId="74" xfId="0" applyFont="1" applyFill="1" applyBorder="1" applyAlignment="1">
      <alignment horizontal="center"/>
    </xf>
    <xf numFmtId="2" fontId="5" fillId="43" borderId="10" xfId="0" applyNumberFormat="1" applyFont="1" applyFill="1" applyBorder="1"/>
    <xf numFmtId="0" fontId="5" fillId="43" borderId="10" xfId="0" applyFont="1" applyFill="1" applyBorder="1"/>
    <xf numFmtId="0" fontId="5" fillId="34" borderId="75" xfId="0" applyFont="1" applyFill="1" applyBorder="1" applyAlignment="1">
      <alignment horizontal="centerContinuous"/>
    </xf>
    <xf numFmtId="0" fontId="6" fillId="34" borderId="75" xfId="0" applyFont="1" applyFill="1" applyBorder="1" applyAlignment="1">
      <alignment horizontal="centerContinuous"/>
    </xf>
    <xf numFmtId="0" fontId="0" fillId="36" borderId="0" xfId="0" applyFill="1"/>
    <xf numFmtId="0" fontId="0" fillId="43" borderId="0" xfId="0" applyFill="1"/>
    <xf numFmtId="2" fontId="0" fillId="0" borderId="0" xfId="0" applyNumberFormat="1"/>
    <xf numFmtId="0" fontId="41" fillId="0" borderId="0" xfId="0" applyFont="1" applyAlignment="1">
      <alignment horizontal="center" vertical="center"/>
    </xf>
    <xf numFmtId="0" fontId="2" fillId="43" borderId="0" xfId="0" applyFont="1" applyFill="1" applyAlignment="1">
      <alignment horizontal="center"/>
    </xf>
    <xf numFmtId="3" fontId="45" fillId="43" borderId="6" xfId="0" applyNumberFormat="1" applyFont="1" applyFill="1" applyBorder="1"/>
    <xf numFmtId="3" fontId="45" fillId="43" borderId="8" xfId="0" applyNumberFormat="1" applyFont="1" applyFill="1" applyBorder="1"/>
    <xf numFmtId="2" fontId="0" fillId="31" borderId="0" xfId="0" applyNumberFormat="1" applyFill="1"/>
    <xf numFmtId="2" fontId="6" fillId="43" borderId="0" xfId="0" applyNumberFormat="1" applyFont="1" applyFill="1"/>
    <xf numFmtId="0" fontId="49" fillId="0" borderId="0" xfId="0" applyFont="1"/>
    <xf numFmtId="2" fontId="6" fillId="0" borderId="0" xfId="0" applyNumberFormat="1" applyFont="1"/>
    <xf numFmtId="2" fontId="6" fillId="0" borderId="0" xfId="0" applyNumberFormat="1" applyFont="1" applyAlignment="1">
      <alignment horizontal="left"/>
    </xf>
    <xf numFmtId="0" fontId="50" fillId="40" borderId="0" xfId="0" applyFont="1" applyFill="1" applyAlignment="1">
      <alignment vertical="center"/>
    </xf>
    <xf numFmtId="0" fontId="4" fillId="40" borderId="0" xfId="0" applyFont="1" applyFill="1"/>
    <xf numFmtId="0" fontId="41" fillId="0" borderId="0" xfId="0" applyFont="1" applyAlignment="1">
      <alignment vertical="center"/>
    </xf>
    <xf numFmtId="0" fontId="2" fillId="40" borderId="0" xfId="0" applyFont="1" applyFill="1" applyAlignment="1">
      <alignment vertical="center"/>
    </xf>
    <xf numFmtId="2" fontId="52" fillId="0" borderId="10" xfId="0" applyNumberFormat="1" applyFont="1" applyBorder="1"/>
    <xf numFmtId="2" fontId="52" fillId="0" borderId="0" xfId="0" applyNumberFormat="1" applyFont="1"/>
    <xf numFmtId="2" fontId="53" fillId="0" borderId="10" xfId="0" applyNumberFormat="1" applyFont="1" applyBorder="1"/>
    <xf numFmtId="2" fontId="53" fillId="0" borderId="0" xfId="0" applyNumberFormat="1" applyFont="1" applyAlignment="1">
      <alignment horizontal="right"/>
    </xf>
    <xf numFmtId="2" fontId="3" fillId="0" borderId="0" xfId="0" applyNumberFormat="1" applyFont="1"/>
    <xf numFmtId="2" fontId="54" fillId="0" borderId="10" xfId="0" applyNumberFormat="1" applyFont="1" applyBorder="1"/>
    <xf numFmtId="2" fontId="54" fillId="0" borderId="0" xfId="0" applyNumberFormat="1" applyFont="1"/>
    <xf numFmtId="0" fontId="46" fillId="0" borderId="0" xfId="0" applyFont="1" applyAlignment="1">
      <alignment horizontal="center"/>
    </xf>
    <xf numFmtId="3" fontId="46" fillId="0" borderId="43" xfId="0" applyNumberFormat="1" applyFont="1" applyBorder="1" applyAlignment="1" applyProtection="1">
      <alignment horizontal="right" vertical="center"/>
      <protection locked="0"/>
    </xf>
    <xf numFmtId="9" fontId="46" fillId="0" borderId="43" xfId="2" applyFont="1" applyBorder="1" applyAlignment="1" applyProtection="1">
      <alignment horizontal="right"/>
      <protection locked="0"/>
    </xf>
    <xf numFmtId="3" fontId="45" fillId="0" borderId="6" xfId="0" applyNumberFormat="1" applyFont="1" applyBorder="1" applyProtection="1">
      <protection locked="0"/>
    </xf>
    <xf numFmtId="3" fontId="45" fillId="0" borderId="8" xfId="0" applyNumberFormat="1" applyFont="1" applyBorder="1" applyProtection="1">
      <protection locked="0"/>
    </xf>
    <xf numFmtId="9" fontId="46" fillId="0" borderId="0" xfId="2" applyFont="1" applyBorder="1" applyAlignment="1" applyProtection="1">
      <alignment horizontal="right"/>
      <protection locked="0"/>
    </xf>
    <xf numFmtId="0" fontId="51" fillId="0" borderId="0" xfId="0" applyFont="1" applyAlignment="1">
      <alignment horizontal="left" vertical="center" wrapText="1"/>
    </xf>
  </cellXfs>
  <cellStyles count="234">
    <cellStyle name="20% - Accent1" xfId="12" xr:uid="{00000000-0005-0000-0000-000000000000}"/>
    <cellStyle name="20% - Accent2" xfId="13" xr:uid="{00000000-0005-0000-0000-000001000000}"/>
    <cellStyle name="20% - Accent3" xfId="14" xr:uid="{00000000-0005-0000-0000-000002000000}"/>
    <cellStyle name="20% - Accent4" xfId="15" xr:uid="{00000000-0005-0000-0000-000003000000}"/>
    <cellStyle name="20% - Accent5" xfId="16" xr:uid="{00000000-0005-0000-0000-000004000000}"/>
    <cellStyle name="20% - Accent6" xfId="17" xr:uid="{00000000-0005-0000-0000-000005000000}"/>
    <cellStyle name="40% - Accent1" xfId="18" xr:uid="{00000000-0005-0000-0000-000006000000}"/>
    <cellStyle name="40% - Accent2" xfId="19" xr:uid="{00000000-0005-0000-0000-000007000000}"/>
    <cellStyle name="40% - Accent3" xfId="20" xr:uid="{00000000-0005-0000-0000-000008000000}"/>
    <cellStyle name="40% - Accent4" xfId="21" xr:uid="{00000000-0005-0000-0000-000009000000}"/>
    <cellStyle name="40% - Accent5" xfId="22" xr:uid="{00000000-0005-0000-0000-00000A000000}"/>
    <cellStyle name="40% - Accent6" xfId="23" xr:uid="{00000000-0005-0000-0000-00000B000000}"/>
    <cellStyle name="60% - Accent1" xfId="24" xr:uid="{00000000-0005-0000-0000-00000C000000}"/>
    <cellStyle name="60% - Accent2" xfId="25" xr:uid="{00000000-0005-0000-0000-00000D000000}"/>
    <cellStyle name="60% - Accent3" xfId="26" xr:uid="{00000000-0005-0000-0000-00000E000000}"/>
    <cellStyle name="60% - Accent4" xfId="27" xr:uid="{00000000-0005-0000-0000-00000F000000}"/>
    <cellStyle name="60% - Accent5" xfId="28" xr:uid="{00000000-0005-0000-0000-000010000000}"/>
    <cellStyle name="60% - Accent6" xfId="29" xr:uid="{00000000-0005-0000-0000-000011000000}"/>
    <cellStyle name="60% - Colore 2 2" xfId="6" xr:uid="{00000000-0005-0000-0000-000012000000}"/>
    <cellStyle name="Accent1" xfId="30" xr:uid="{00000000-0005-0000-0000-000013000000}"/>
    <cellStyle name="Accent2" xfId="31" xr:uid="{00000000-0005-0000-0000-000014000000}"/>
    <cellStyle name="Accent3" xfId="32" xr:uid="{00000000-0005-0000-0000-000015000000}"/>
    <cellStyle name="Accent4" xfId="33" xr:uid="{00000000-0005-0000-0000-000016000000}"/>
    <cellStyle name="Accent5" xfId="34" xr:uid="{00000000-0005-0000-0000-000017000000}"/>
    <cellStyle name="Accent6" xfId="35" xr:uid="{00000000-0005-0000-0000-000018000000}"/>
    <cellStyle name="Bad" xfId="36" xr:uid="{00000000-0005-0000-0000-000019000000}"/>
    <cellStyle name="Calculation" xfId="37" xr:uid="{00000000-0005-0000-0000-00001B000000}"/>
    <cellStyle name="Calculation 2" xfId="102" xr:uid="{00000000-0005-0000-0000-00001C000000}"/>
    <cellStyle name="Calculation 2 2" xfId="116" xr:uid="{00000000-0005-0000-0000-00001D000000}"/>
    <cellStyle name="Calculation 2 2 2" xfId="156" xr:uid="{00000000-0005-0000-0000-00001E000000}"/>
    <cellStyle name="Calculation 2 2 2 2" xfId="228" xr:uid="{00000000-0005-0000-0000-00001F000000}"/>
    <cellStyle name="Calculation 2 2 3" xfId="124" xr:uid="{00000000-0005-0000-0000-000020000000}"/>
    <cellStyle name="Calculation 2 2 3 2" xfId="196" xr:uid="{00000000-0005-0000-0000-000021000000}"/>
    <cellStyle name="Calculation 2 2 4" xfId="190" xr:uid="{00000000-0005-0000-0000-000022000000}"/>
    <cellStyle name="Calculation 2 3" xfId="130" xr:uid="{00000000-0005-0000-0000-000023000000}"/>
    <cellStyle name="Calculation 2 3 2" xfId="202" xr:uid="{00000000-0005-0000-0000-000024000000}"/>
    <cellStyle name="Calculation 2 4" xfId="134" xr:uid="{00000000-0005-0000-0000-000025000000}"/>
    <cellStyle name="Calculation 2 4 2" xfId="206" xr:uid="{00000000-0005-0000-0000-000026000000}"/>
    <cellStyle name="Calculation 2 5" xfId="176" xr:uid="{00000000-0005-0000-0000-000027000000}"/>
    <cellStyle name="Calculation 3" xfId="166" xr:uid="{00000000-0005-0000-0000-000028000000}"/>
    <cellStyle name="Check Cell" xfId="38" xr:uid="{00000000-0005-0000-0000-000029000000}"/>
    <cellStyle name="contentStyle" xfId="39" xr:uid="{00000000-0005-0000-0000-00002A000000}"/>
    <cellStyle name="dateStyle" xfId="40" xr:uid="{00000000-0005-0000-0000-00002B000000}"/>
    <cellStyle name="defaultNumberStyle" xfId="41" xr:uid="{00000000-0005-0000-0000-00002C000000}"/>
    <cellStyle name="E Head0" xfId="42" xr:uid="{00000000-0005-0000-0000-00002D000000}"/>
    <cellStyle name="E Head1" xfId="43" xr:uid="{00000000-0005-0000-0000-00002E000000}"/>
    <cellStyle name="E Head2" xfId="44" xr:uid="{00000000-0005-0000-0000-00002F000000}"/>
    <cellStyle name="E Normal" xfId="45" xr:uid="{00000000-0005-0000-0000-000030000000}"/>
    <cellStyle name="Euro" xfId="46" xr:uid="{00000000-0005-0000-0000-000031000000}"/>
    <cellStyle name="Euro 2" xfId="47" xr:uid="{00000000-0005-0000-0000-000032000000}"/>
    <cellStyle name="Euro 3" xfId="109" xr:uid="{00000000-0005-0000-0000-000033000000}"/>
    <cellStyle name="Euro 3 2" xfId="145" xr:uid="{00000000-0005-0000-0000-000034000000}"/>
    <cellStyle name="Euro 3 2 2" xfId="217" xr:uid="{00000000-0005-0000-0000-000035000000}"/>
    <cellStyle name="Euro 3 3" xfId="183" xr:uid="{00000000-0005-0000-0000-000036000000}"/>
    <cellStyle name="Euro 4" xfId="135" xr:uid="{00000000-0005-0000-0000-000037000000}"/>
    <cellStyle name="Euro 4 2" xfId="207" xr:uid="{00000000-0005-0000-0000-000038000000}"/>
    <cellStyle name="Euro 5" xfId="167" xr:uid="{00000000-0005-0000-0000-000039000000}"/>
    <cellStyle name="Explanatory Text" xfId="48" xr:uid="{00000000-0005-0000-0000-00003A000000}"/>
    <cellStyle name="Good" xfId="49" xr:uid="{00000000-0005-0000-0000-00003B000000}"/>
    <cellStyle name="headerStyle" xfId="50" xr:uid="{00000000-0005-0000-0000-00003C000000}"/>
    <cellStyle name="Heading 1" xfId="51" xr:uid="{00000000-0005-0000-0000-00003D000000}"/>
    <cellStyle name="Heading 2" xfId="52" xr:uid="{00000000-0005-0000-0000-00003E000000}"/>
    <cellStyle name="Heading 3" xfId="53" xr:uid="{00000000-0005-0000-0000-00003F000000}"/>
    <cellStyle name="Heading 3 2" xfId="54" xr:uid="{00000000-0005-0000-0000-000040000000}"/>
    <cellStyle name="Heading 4" xfId="55" xr:uid="{00000000-0005-0000-0000-000041000000}"/>
    <cellStyle name="headlineDateStyle" xfId="56" xr:uid="{00000000-0005-0000-0000-000042000000}"/>
    <cellStyle name="headlineDefaultNumberStyle" xfId="57" xr:uid="{00000000-0005-0000-0000-000043000000}"/>
    <cellStyle name="headlineNumberStyle" xfId="58" xr:uid="{00000000-0005-0000-0000-000044000000}"/>
    <cellStyle name="headlineStyle" xfId="59" xr:uid="{00000000-0005-0000-0000-000045000000}"/>
    <cellStyle name="Hyperlink 2" xfId="60" xr:uid="{00000000-0005-0000-0000-000046000000}"/>
    <cellStyle name="Input" xfId="110" xr:uid="{00000000-0005-0000-0000-000047000000}"/>
    <cellStyle name="Input 2" xfId="103" xr:uid="{00000000-0005-0000-0000-000048000000}"/>
    <cellStyle name="Input 2 2" xfId="117" xr:uid="{00000000-0005-0000-0000-000049000000}"/>
    <cellStyle name="Input 2 2 2" xfId="157" xr:uid="{00000000-0005-0000-0000-00004A000000}"/>
    <cellStyle name="Input 2 2 2 2" xfId="229" xr:uid="{00000000-0005-0000-0000-00004B000000}"/>
    <cellStyle name="Input 2 2 3" xfId="131" xr:uid="{00000000-0005-0000-0000-00004C000000}"/>
    <cellStyle name="Input 2 2 3 2" xfId="203" xr:uid="{00000000-0005-0000-0000-00004D000000}"/>
    <cellStyle name="Input 2 2 4" xfId="191" xr:uid="{00000000-0005-0000-0000-00004E000000}"/>
    <cellStyle name="Input 2 3" xfId="154" xr:uid="{00000000-0005-0000-0000-00004F000000}"/>
    <cellStyle name="Input 2 3 2" xfId="226" xr:uid="{00000000-0005-0000-0000-000050000000}"/>
    <cellStyle name="Input 2 4" xfId="141" xr:uid="{00000000-0005-0000-0000-000051000000}"/>
    <cellStyle name="Input 2 4 2" xfId="213" xr:uid="{00000000-0005-0000-0000-000052000000}"/>
    <cellStyle name="Input 2 5" xfId="177" xr:uid="{00000000-0005-0000-0000-000053000000}"/>
    <cellStyle name="Input 3" xfId="152" xr:uid="{00000000-0005-0000-0000-000054000000}"/>
    <cellStyle name="Input 3 2" xfId="224" xr:uid="{00000000-0005-0000-0000-000055000000}"/>
    <cellStyle name="Input 4" xfId="132" xr:uid="{00000000-0005-0000-0000-000056000000}"/>
    <cellStyle name="Input 4 2" xfId="204" xr:uid="{00000000-0005-0000-0000-000057000000}"/>
    <cellStyle name="Input 5" xfId="184" xr:uid="{00000000-0005-0000-0000-000058000000}"/>
    <cellStyle name="Komma" xfId="1" builtinId="3"/>
    <cellStyle name="Komma 2" xfId="61" xr:uid="{00000000-0005-0000-0000-00005A000000}"/>
    <cellStyle name="Komma 2 2" xfId="62" xr:uid="{00000000-0005-0000-0000-00005B000000}"/>
    <cellStyle name="Komma 2 2 2" xfId="112" xr:uid="{00000000-0005-0000-0000-00005C000000}"/>
    <cellStyle name="Komma 2 2 2 2" xfId="147" xr:uid="{00000000-0005-0000-0000-00005D000000}"/>
    <cellStyle name="Komma 2 2 2 2 2" xfId="219" xr:uid="{00000000-0005-0000-0000-00005E000000}"/>
    <cellStyle name="Komma 2 2 2 3" xfId="186" xr:uid="{00000000-0005-0000-0000-00005F000000}"/>
    <cellStyle name="Komma 2 2 3" xfId="137" xr:uid="{00000000-0005-0000-0000-000060000000}"/>
    <cellStyle name="Komma 2 2 3 2" xfId="209" xr:uid="{00000000-0005-0000-0000-000061000000}"/>
    <cellStyle name="Komma 2 2 4" xfId="169" xr:uid="{00000000-0005-0000-0000-000062000000}"/>
    <cellStyle name="Komma 2 3" xfId="111" xr:uid="{00000000-0005-0000-0000-000063000000}"/>
    <cellStyle name="Komma 2 3 2" xfId="146" xr:uid="{00000000-0005-0000-0000-000064000000}"/>
    <cellStyle name="Komma 2 3 2 2" xfId="218" xr:uid="{00000000-0005-0000-0000-000065000000}"/>
    <cellStyle name="Komma 2 3 3" xfId="185" xr:uid="{00000000-0005-0000-0000-000066000000}"/>
    <cellStyle name="Komma 2 4" xfId="123" xr:uid="{00000000-0005-0000-0000-000067000000}"/>
    <cellStyle name="Komma 2 4 2" xfId="155" xr:uid="{00000000-0005-0000-0000-000068000000}"/>
    <cellStyle name="Komma 2 4 2 2" xfId="227" xr:uid="{00000000-0005-0000-0000-000069000000}"/>
    <cellStyle name="Komma 2 4 3" xfId="195" xr:uid="{00000000-0005-0000-0000-00006A000000}"/>
    <cellStyle name="Komma 2 5" xfId="136" xr:uid="{00000000-0005-0000-0000-00006B000000}"/>
    <cellStyle name="Komma 2 5 2" xfId="208" xr:uid="{00000000-0005-0000-0000-00006C000000}"/>
    <cellStyle name="Komma 2 6" xfId="168" xr:uid="{00000000-0005-0000-0000-00006D000000}"/>
    <cellStyle name="Komma 3" xfId="63" xr:uid="{00000000-0005-0000-0000-00006E000000}"/>
    <cellStyle name="Komma 3 2" xfId="64" xr:uid="{00000000-0005-0000-0000-00006F000000}"/>
    <cellStyle name="Komma 3 2 2" xfId="114" xr:uid="{00000000-0005-0000-0000-000070000000}"/>
    <cellStyle name="Komma 3 2 2 2" xfId="149" xr:uid="{00000000-0005-0000-0000-000071000000}"/>
    <cellStyle name="Komma 3 2 2 2 2" xfId="221" xr:uid="{00000000-0005-0000-0000-000072000000}"/>
    <cellStyle name="Komma 3 2 2 3" xfId="188" xr:uid="{00000000-0005-0000-0000-000073000000}"/>
    <cellStyle name="Komma 3 2 3" xfId="139" xr:uid="{00000000-0005-0000-0000-000074000000}"/>
    <cellStyle name="Komma 3 2 3 2" xfId="211" xr:uid="{00000000-0005-0000-0000-000075000000}"/>
    <cellStyle name="Komma 3 2 4" xfId="171" xr:uid="{00000000-0005-0000-0000-000076000000}"/>
    <cellStyle name="Komma 3 3" xfId="113" xr:uid="{00000000-0005-0000-0000-000077000000}"/>
    <cellStyle name="Komma 3 3 2" xfId="148" xr:uid="{00000000-0005-0000-0000-000078000000}"/>
    <cellStyle name="Komma 3 3 2 2" xfId="220" xr:uid="{00000000-0005-0000-0000-000079000000}"/>
    <cellStyle name="Komma 3 3 3" xfId="187" xr:uid="{00000000-0005-0000-0000-00007A000000}"/>
    <cellStyle name="Komma 3 4" xfId="138" xr:uid="{00000000-0005-0000-0000-00007B000000}"/>
    <cellStyle name="Komma 3 4 2" xfId="210" xr:uid="{00000000-0005-0000-0000-00007C000000}"/>
    <cellStyle name="Komma 3 5" xfId="170" xr:uid="{00000000-0005-0000-0000-00007D000000}"/>
    <cellStyle name="Komma 4" xfId="8" xr:uid="{00000000-0005-0000-0000-00007E000000}"/>
    <cellStyle name="Komma 4 2" xfId="108" xr:uid="{00000000-0005-0000-0000-00007F000000}"/>
    <cellStyle name="Komma 4 2 2" xfId="144" xr:uid="{00000000-0005-0000-0000-000080000000}"/>
    <cellStyle name="Komma 4 2 2 2" xfId="216" xr:uid="{00000000-0005-0000-0000-000081000000}"/>
    <cellStyle name="Komma 4 2 3" xfId="182" xr:uid="{00000000-0005-0000-0000-000082000000}"/>
    <cellStyle name="Komma 4 3" xfId="126" xr:uid="{00000000-0005-0000-0000-000083000000}"/>
    <cellStyle name="Komma 4 3 2" xfId="198" xr:uid="{00000000-0005-0000-0000-000084000000}"/>
    <cellStyle name="Komma 4 4" xfId="165" xr:uid="{00000000-0005-0000-0000-000085000000}"/>
    <cellStyle name="Linked Cell" xfId="65" xr:uid="{00000000-0005-0000-0000-000086000000}"/>
    <cellStyle name="Migliaia 2" xfId="66" xr:uid="{00000000-0005-0000-0000-000087000000}"/>
    <cellStyle name="Migliaia 2 2" xfId="115" xr:uid="{00000000-0005-0000-0000-000088000000}"/>
    <cellStyle name="Migliaia 2 2 2" xfId="150" xr:uid="{00000000-0005-0000-0000-000089000000}"/>
    <cellStyle name="Migliaia 2 2 2 2" xfId="222" xr:uid="{00000000-0005-0000-0000-00008A000000}"/>
    <cellStyle name="Migliaia 2 2 3" xfId="189" xr:uid="{00000000-0005-0000-0000-00008B000000}"/>
    <cellStyle name="Migliaia 2 3" xfId="140" xr:uid="{00000000-0005-0000-0000-00008C000000}"/>
    <cellStyle name="Migliaia 2 3 2" xfId="212" xr:uid="{00000000-0005-0000-0000-00008D000000}"/>
    <cellStyle name="Migliaia 2 4" xfId="172" xr:uid="{00000000-0005-0000-0000-00008E000000}"/>
    <cellStyle name="Migliaia 3" xfId="7" xr:uid="{00000000-0005-0000-0000-00008F000000}"/>
    <cellStyle name="Migliaia 3 2" xfId="107" xr:uid="{00000000-0005-0000-0000-000090000000}"/>
    <cellStyle name="Migliaia 3 2 2" xfId="143" xr:uid="{00000000-0005-0000-0000-000091000000}"/>
    <cellStyle name="Migliaia 3 2 2 2" xfId="215" xr:uid="{00000000-0005-0000-0000-000092000000}"/>
    <cellStyle name="Migliaia 3 2 3" xfId="181" xr:uid="{00000000-0005-0000-0000-000093000000}"/>
    <cellStyle name="Migliaia 3 3" xfId="125" xr:uid="{00000000-0005-0000-0000-000094000000}"/>
    <cellStyle name="Migliaia 3 3 2" xfId="197" xr:uid="{00000000-0005-0000-0000-000095000000}"/>
    <cellStyle name="Migliaia 3 4" xfId="164" xr:uid="{00000000-0005-0000-0000-000096000000}"/>
    <cellStyle name="Migliaia 4 2" xfId="5" xr:uid="{00000000-0005-0000-0000-000097000000}"/>
    <cellStyle name="Migliaia 5" xfId="67" xr:uid="{00000000-0005-0000-0000-000098000000}"/>
    <cellStyle name="Normal 2" xfId="9" xr:uid="{00000000-0005-0000-0000-000099000000}"/>
    <cellStyle name="Normal 2 13" xfId="163" xr:uid="{00000000-0005-0000-0000-00009A000000}"/>
    <cellStyle name="Normal 2 3" xfId="162" xr:uid="{00000000-0005-0000-0000-00009B000000}"/>
    <cellStyle name="Normal_Sheet1" xfId="68" xr:uid="{00000000-0005-0000-0000-00009C000000}"/>
    <cellStyle name="Normale 19 3" xfId="122" xr:uid="{00000000-0005-0000-0000-00009D000000}"/>
    <cellStyle name="Normale 2" xfId="10" xr:uid="{00000000-0005-0000-0000-00009E000000}"/>
    <cellStyle name="Normale 6 4" xfId="3" xr:uid="{00000000-0005-0000-0000-00009F000000}"/>
    <cellStyle name="Note" xfId="69" xr:uid="{00000000-0005-0000-0000-0000A0000000}"/>
    <cellStyle name="Note 2" xfId="104" xr:uid="{00000000-0005-0000-0000-0000A1000000}"/>
    <cellStyle name="Note 2 2" xfId="118" xr:uid="{00000000-0005-0000-0000-0000A2000000}"/>
    <cellStyle name="Note 2 2 2" xfId="158" xr:uid="{00000000-0005-0000-0000-0000A3000000}"/>
    <cellStyle name="Note 2 2 2 2" xfId="230" xr:uid="{00000000-0005-0000-0000-0000A4000000}"/>
    <cellStyle name="Note 2 2 3" xfId="153" xr:uid="{00000000-0005-0000-0000-0000A5000000}"/>
    <cellStyle name="Note 2 2 3 2" xfId="225" xr:uid="{00000000-0005-0000-0000-0000A6000000}"/>
    <cellStyle name="Note 2 2 4" xfId="192" xr:uid="{00000000-0005-0000-0000-0000A7000000}"/>
    <cellStyle name="Note 2 3" xfId="129" xr:uid="{00000000-0005-0000-0000-0000A8000000}"/>
    <cellStyle name="Note 2 3 2" xfId="201" xr:uid="{00000000-0005-0000-0000-0000A9000000}"/>
    <cellStyle name="Note 2 4" xfId="151" xr:uid="{00000000-0005-0000-0000-0000AA000000}"/>
    <cellStyle name="Note 2 4 2" xfId="223" xr:uid="{00000000-0005-0000-0000-0000AB000000}"/>
    <cellStyle name="Note 2 5" xfId="178" xr:uid="{00000000-0005-0000-0000-0000AC000000}"/>
    <cellStyle name="Note 3" xfId="173" xr:uid="{00000000-0005-0000-0000-0000AD000000}"/>
    <cellStyle name="numberStyle" xfId="70" xr:uid="{00000000-0005-0000-0000-0000AE000000}"/>
    <cellStyle name="Output" xfId="71" xr:uid="{00000000-0005-0000-0000-0000AF000000}"/>
    <cellStyle name="Output 2" xfId="105" xr:uid="{00000000-0005-0000-0000-0000B0000000}"/>
    <cellStyle name="Output 2 2" xfId="119" xr:uid="{00000000-0005-0000-0000-0000B1000000}"/>
    <cellStyle name="Output 2 2 2" xfId="159" xr:uid="{00000000-0005-0000-0000-0000B2000000}"/>
    <cellStyle name="Output 2 2 2 2" xfId="231" xr:uid="{00000000-0005-0000-0000-0000B3000000}"/>
    <cellStyle name="Output 2 2 3" xfId="193" xr:uid="{00000000-0005-0000-0000-0000B4000000}"/>
    <cellStyle name="Output 2 3" xfId="128" xr:uid="{00000000-0005-0000-0000-0000B5000000}"/>
    <cellStyle name="Output 2 3 2" xfId="200" xr:uid="{00000000-0005-0000-0000-0000B6000000}"/>
    <cellStyle name="Output 2 4" xfId="142" xr:uid="{00000000-0005-0000-0000-0000B7000000}"/>
    <cellStyle name="Output 2 4 2" xfId="214" xr:uid="{00000000-0005-0000-0000-0000B8000000}"/>
    <cellStyle name="Output 2 5" xfId="179" xr:uid="{00000000-0005-0000-0000-0000B9000000}"/>
    <cellStyle name="Output 3" xfId="174" xr:uid="{00000000-0005-0000-0000-0000BA000000}"/>
    <cellStyle name="Percentuale 2" xfId="11" xr:uid="{00000000-0005-0000-0000-0000BB000000}"/>
    <cellStyle name="Percentuale 5 2" xfId="4" xr:uid="{00000000-0005-0000-0000-0000BC000000}"/>
    <cellStyle name="Prozent" xfId="2" builtinId="5"/>
    <cellStyle name="Prozent 2" xfId="72" xr:uid="{00000000-0005-0000-0000-0000BE000000}"/>
    <cellStyle name="Prozent 3" xfId="73" xr:uid="{00000000-0005-0000-0000-0000BF000000}"/>
    <cellStyle name="Standard" xfId="0" builtinId="0"/>
    <cellStyle name="Standard 10" xfId="74" xr:uid="{00000000-0005-0000-0000-0000C1000000}"/>
    <cellStyle name="Standard 10 2 2 2" xfId="75" xr:uid="{00000000-0005-0000-0000-0000C2000000}"/>
    <cellStyle name="Standard 11" xfId="76" xr:uid="{00000000-0005-0000-0000-0000C3000000}"/>
    <cellStyle name="Standard 11 2" xfId="77" xr:uid="{00000000-0005-0000-0000-0000C4000000}"/>
    <cellStyle name="Standard 13" xfId="78" xr:uid="{00000000-0005-0000-0000-0000C5000000}"/>
    <cellStyle name="Standard 2" xfId="79" xr:uid="{00000000-0005-0000-0000-0000C6000000}"/>
    <cellStyle name="Standard 2 2" xfId="80" xr:uid="{00000000-0005-0000-0000-0000C7000000}"/>
    <cellStyle name="Standard 2 2 2" xfId="81" xr:uid="{00000000-0005-0000-0000-0000C8000000}"/>
    <cellStyle name="Standard 2 3" xfId="82" xr:uid="{00000000-0005-0000-0000-0000C9000000}"/>
    <cellStyle name="Standard 2 4" xfId="121" xr:uid="{00000000-0005-0000-0000-0000CA000000}"/>
    <cellStyle name="Standard 3" xfId="83" xr:uid="{00000000-0005-0000-0000-0000CB000000}"/>
    <cellStyle name="Standard 3 2" xfId="84" xr:uid="{00000000-0005-0000-0000-0000CC000000}"/>
    <cellStyle name="Standard 3_LTC-PnL" xfId="85" xr:uid="{00000000-0005-0000-0000-0000CD000000}"/>
    <cellStyle name="Standard 4" xfId="86" xr:uid="{00000000-0005-0000-0000-0000CE000000}"/>
    <cellStyle name="Standard 4 2" xfId="87" xr:uid="{00000000-0005-0000-0000-0000CF000000}"/>
    <cellStyle name="Standard 5" xfId="88" xr:uid="{00000000-0005-0000-0000-0000D0000000}"/>
    <cellStyle name="Standard 6" xfId="89" xr:uid="{00000000-0005-0000-0000-0000D1000000}"/>
    <cellStyle name="Standard 7" xfId="90" xr:uid="{00000000-0005-0000-0000-0000D2000000}"/>
    <cellStyle name="Standard 8" xfId="91" xr:uid="{00000000-0005-0000-0000-0000D3000000}"/>
    <cellStyle name="Standard 9" xfId="92" xr:uid="{00000000-0005-0000-0000-0000D4000000}"/>
    <cellStyle name="tariffHeadlineStyle" xfId="93" xr:uid="{00000000-0005-0000-0000-0000D5000000}"/>
    <cellStyle name="tariffStyle" xfId="94" xr:uid="{00000000-0005-0000-0000-0000D6000000}"/>
    <cellStyle name="Title" xfId="95" xr:uid="{00000000-0005-0000-0000-0000D7000000}"/>
    <cellStyle name="Total" xfId="96" xr:uid="{00000000-0005-0000-0000-0000D8000000}"/>
    <cellStyle name="Total 2" xfId="106" xr:uid="{00000000-0005-0000-0000-0000D9000000}"/>
    <cellStyle name="Total 2 2" xfId="120" xr:uid="{00000000-0005-0000-0000-0000DA000000}"/>
    <cellStyle name="Total 2 2 2" xfId="160" xr:uid="{00000000-0005-0000-0000-0000DB000000}"/>
    <cellStyle name="Total 2 2 2 2" xfId="232" xr:uid="{00000000-0005-0000-0000-0000DC000000}"/>
    <cellStyle name="Total 2 2 3" xfId="161" xr:uid="{00000000-0005-0000-0000-0000DD000000}"/>
    <cellStyle name="Total 2 2 3 2" xfId="233" xr:uid="{00000000-0005-0000-0000-0000DE000000}"/>
    <cellStyle name="Total 2 2 4" xfId="194" xr:uid="{00000000-0005-0000-0000-0000DF000000}"/>
    <cellStyle name="Total 2 3" xfId="127" xr:uid="{00000000-0005-0000-0000-0000E0000000}"/>
    <cellStyle name="Total 2 3 2" xfId="199" xr:uid="{00000000-0005-0000-0000-0000E1000000}"/>
    <cellStyle name="Total 2 4" xfId="133" xr:uid="{00000000-0005-0000-0000-0000E2000000}"/>
    <cellStyle name="Total 2 4 2" xfId="205" xr:uid="{00000000-0005-0000-0000-0000E3000000}"/>
    <cellStyle name="Total 2 5" xfId="180" xr:uid="{00000000-0005-0000-0000-0000E4000000}"/>
    <cellStyle name="Total 3" xfId="175" xr:uid="{00000000-0005-0000-0000-0000E5000000}"/>
    <cellStyle name="Überschrift 1 2" xfId="97" xr:uid="{00000000-0005-0000-0000-0000E6000000}"/>
    <cellStyle name="Überschrift 2 2" xfId="98" xr:uid="{00000000-0005-0000-0000-0000E7000000}"/>
    <cellStyle name="Überschrift 5" xfId="99" xr:uid="{00000000-0005-0000-0000-0000E8000000}"/>
    <cellStyle name="Undefiniert" xfId="100" xr:uid="{00000000-0005-0000-0000-0000E9000000}"/>
    <cellStyle name="Warning Text" xfId="101" xr:uid="{00000000-0005-0000-0000-0000EA000000}"/>
  </cellStyles>
  <dxfs count="13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E6D73"/>
      <color rgb="FF0A4669"/>
      <color rgb="FFC3E49C"/>
      <color rgb="FFDCE6F2"/>
      <color rgb="FFFFFF99"/>
      <color rgb="FFBAE2F8"/>
      <color rgb="FFFF99CC"/>
      <color rgb="FF00CC99"/>
      <color rgb="FFF8F8F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FE6D73"/>
    <outlinePr summaryBelow="0" summaryRight="0"/>
  </sheetPr>
  <dimension ref="A1:J58"/>
  <sheetViews>
    <sheetView showGridLines="0" tabSelected="1" zoomScaleNormal="100" workbookViewId="0">
      <selection activeCell="D11" sqref="D11"/>
    </sheetView>
  </sheetViews>
  <sheetFormatPr baseColWidth="10" defaultRowHeight="15" x14ac:dyDescent="0.25"/>
  <cols>
    <col min="1" max="1" width="1.7109375" customWidth="1"/>
    <col min="2" max="2" width="10.5703125" bestFit="1" customWidth="1"/>
    <col min="3" max="3" width="33.85546875" customWidth="1"/>
    <col min="4" max="4" width="15.42578125" customWidth="1"/>
    <col min="5" max="5" width="15.42578125" style="7" customWidth="1"/>
    <col min="6" max="6" width="15.42578125" customWidth="1"/>
    <col min="7" max="7" width="1.42578125" customWidth="1"/>
    <col min="8" max="10" width="15.42578125" customWidth="1"/>
  </cols>
  <sheetData>
    <row r="1" spans="1:5" x14ac:dyDescent="0.25">
      <c r="A1" s="244" t="s">
        <v>177</v>
      </c>
      <c r="B1" s="241"/>
      <c r="C1" s="242"/>
      <c r="D1" s="242"/>
    </row>
    <row r="2" spans="1:5" ht="21" customHeight="1" x14ac:dyDescent="0.25">
      <c r="B2" s="258" t="s">
        <v>176</v>
      </c>
      <c r="C2" s="258"/>
      <c r="D2" s="258"/>
    </row>
    <row r="3" spans="1:5" x14ac:dyDescent="0.25">
      <c r="B3" s="243" t="s">
        <v>175</v>
      </c>
      <c r="C3" s="2"/>
    </row>
    <row r="4" spans="1:5" x14ac:dyDescent="0.25">
      <c r="C4" s="29"/>
      <c r="D4" s="75" t="s">
        <v>102</v>
      </c>
      <c r="E4" s="21"/>
    </row>
    <row r="5" spans="1:5" x14ac:dyDescent="0.25">
      <c r="A5" s="26" t="s">
        <v>71</v>
      </c>
      <c r="B5" s="22"/>
      <c r="C5" s="22"/>
      <c r="D5" s="22"/>
      <c r="E5" s="21"/>
    </row>
    <row r="6" spans="1:5" ht="30" customHeight="1" x14ac:dyDescent="0.25">
      <c r="B6" s="20" t="s">
        <v>99</v>
      </c>
      <c r="C6" s="220" t="s">
        <v>151</v>
      </c>
      <c r="D6" s="253">
        <v>95000000</v>
      </c>
      <c r="E6" s="21"/>
    </row>
    <row r="7" spans="1:5" ht="30" x14ac:dyDescent="0.25">
      <c r="A7" s="20"/>
      <c r="B7" s="20" t="s">
        <v>99</v>
      </c>
      <c r="C7" s="220" t="s">
        <v>154</v>
      </c>
      <c r="D7" s="253">
        <v>26000000</v>
      </c>
      <c r="E7" s="21"/>
    </row>
    <row r="8" spans="1:5" ht="30" x14ac:dyDescent="0.25">
      <c r="B8" s="20" t="s">
        <v>99</v>
      </c>
      <c r="C8" s="220" t="s">
        <v>152</v>
      </c>
      <c r="D8" s="253">
        <v>155000000</v>
      </c>
      <c r="E8" s="21"/>
    </row>
    <row r="9" spans="1:5" ht="30" x14ac:dyDescent="0.25">
      <c r="A9" s="20"/>
      <c r="B9" s="20" t="s">
        <v>99</v>
      </c>
      <c r="C9" s="220" t="s">
        <v>153</v>
      </c>
      <c r="D9" s="253">
        <v>24000000</v>
      </c>
      <c r="E9" s="21"/>
    </row>
    <row r="10" spans="1:5" x14ac:dyDescent="0.25">
      <c r="B10" s="20" t="s">
        <v>70</v>
      </c>
      <c r="C10" s="24" t="s">
        <v>189</v>
      </c>
      <c r="D10" s="254">
        <v>0.5</v>
      </c>
      <c r="E10" s="21"/>
    </row>
    <row r="11" spans="1:5" x14ac:dyDescent="0.25">
      <c r="B11" s="20" t="s">
        <v>70</v>
      </c>
      <c r="C11" s="24" t="s">
        <v>190</v>
      </c>
      <c r="D11" s="254">
        <v>0.5</v>
      </c>
      <c r="E11" s="21"/>
    </row>
    <row r="12" spans="1:5" x14ac:dyDescent="0.25">
      <c r="B12" s="20" t="s">
        <v>70</v>
      </c>
      <c r="C12" s="24" t="s">
        <v>78</v>
      </c>
      <c r="D12" s="254">
        <v>0</v>
      </c>
      <c r="E12" s="21"/>
    </row>
    <row r="13" spans="1:5" x14ac:dyDescent="0.25">
      <c r="A13" s="20"/>
      <c r="B13" s="20" t="s">
        <v>70</v>
      </c>
      <c r="C13" s="24" t="s">
        <v>16</v>
      </c>
      <c r="D13" s="254">
        <v>0.1</v>
      </c>
      <c r="E13" s="21"/>
    </row>
    <row r="14" spans="1:5" x14ac:dyDescent="0.25">
      <c r="A14" s="20"/>
      <c r="B14" s="20" t="s">
        <v>70</v>
      </c>
      <c r="C14" s="24" t="s">
        <v>89</v>
      </c>
      <c r="D14" s="254">
        <v>1</v>
      </c>
      <c r="E14" s="21"/>
    </row>
    <row r="15" spans="1:5" x14ac:dyDescent="0.25">
      <c r="A15" s="20"/>
      <c r="B15" s="20" t="s">
        <v>70</v>
      </c>
      <c r="C15" s="24" t="s">
        <v>78</v>
      </c>
      <c r="D15" s="254">
        <v>0</v>
      </c>
      <c r="E15" s="21"/>
    </row>
    <row r="16" spans="1:5" x14ac:dyDescent="0.25">
      <c r="C16" s="9"/>
      <c r="E16" s="21"/>
    </row>
    <row r="17" spans="1:5" x14ac:dyDescent="0.25">
      <c r="A17" s="32" t="s">
        <v>77</v>
      </c>
      <c r="B17" s="33"/>
      <c r="C17" s="34"/>
      <c r="D17" s="33"/>
      <c r="E17" s="21"/>
    </row>
    <row r="18" spans="1:5" hidden="1" x14ac:dyDescent="0.25">
      <c r="B18" s="27" t="s">
        <v>73</v>
      </c>
      <c r="C18" s="28"/>
      <c r="D18" s="76"/>
      <c r="E18" s="21"/>
    </row>
    <row r="19" spans="1:5" ht="30" x14ac:dyDescent="0.25">
      <c r="A19" s="20"/>
      <c r="B19" s="20" t="s">
        <v>99</v>
      </c>
      <c r="C19" s="220" t="s">
        <v>158</v>
      </c>
      <c r="D19" s="222">
        <f>D6+D8</f>
        <v>250000000</v>
      </c>
      <c r="E19" s="21"/>
    </row>
    <row r="20" spans="1:5" x14ac:dyDescent="0.25">
      <c r="A20" s="20"/>
      <c r="B20" s="20" t="s">
        <v>70</v>
      </c>
      <c r="C20" s="24" t="s">
        <v>191</v>
      </c>
      <c r="D20" s="88">
        <f>SUMPRODUCT(CWD!Q15:R24,CWD!C15:D24)/Results!D19</f>
        <v>0.4687385705759855</v>
      </c>
      <c r="E20" s="21"/>
    </row>
    <row r="21" spans="1:5" x14ac:dyDescent="0.25">
      <c r="A21" s="20"/>
      <c r="B21" s="20" t="s">
        <v>70</v>
      </c>
      <c r="C21" s="24" t="s">
        <v>155</v>
      </c>
      <c r="D21" s="88">
        <f>CAA!F14</f>
        <v>0.25787654238466812</v>
      </c>
      <c r="E21" s="21"/>
    </row>
    <row r="22" spans="1:5" x14ac:dyDescent="0.25">
      <c r="A22" s="20"/>
      <c r="B22" s="20" t="s">
        <v>70</v>
      </c>
      <c r="C22" s="24" t="s">
        <v>156</v>
      </c>
      <c r="D22" s="88">
        <f>CAA!F28</f>
        <v>5.8350177039193365E-3</v>
      </c>
      <c r="E22" s="21"/>
    </row>
    <row r="23" spans="1:5" x14ac:dyDescent="0.25">
      <c r="A23" s="32" t="s">
        <v>162</v>
      </c>
      <c r="B23" s="33"/>
      <c r="C23" s="34"/>
      <c r="D23" s="33"/>
      <c r="E23" s="21"/>
    </row>
    <row r="24" spans="1:5" ht="30" x14ac:dyDescent="0.25">
      <c r="A24" s="20"/>
      <c r="B24" s="20" t="s">
        <v>99</v>
      </c>
      <c r="C24" s="220" t="s">
        <v>159</v>
      </c>
      <c r="D24" s="221">
        <f>D7+D9</f>
        <v>50000000</v>
      </c>
      <c r="E24" s="21"/>
    </row>
    <row r="25" spans="1:5" x14ac:dyDescent="0.25">
      <c r="A25" s="20"/>
      <c r="B25" s="20" t="s">
        <v>92</v>
      </c>
      <c r="C25" s="24" t="s">
        <v>194</v>
      </c>
      <c r="D25" s="23">
        <f>(SUM('Inputs Volumes &amp; Flows'!F55:F59)+SUM('Inputs Volumes &amp; Flows'!F70:F71))/1000</f>
        <v>141843856.62629944</v>
      </c>
    </row>
    <row r="26" spans="1:5" x14ac:dyDescent="0.25">
      <c r="A26" s="20"/>
      <c r="B26" s="20" t="s">
        <v>92</v>
      </c>
      <c r="C26" s="24" t="s">
        <v>193</v>
      </c>
      <c r="D26" s="23">
        <f>('Inputs Volumes &amp; Flows'!F74+'Inputs Volumes &amp; Flows'!F77)/1000</f>
        <v>66969421.143605694</v>
      </c>
      <c r="E26" s="78"/>
    </row>
    <row r="27" spans="1:5" x14ac:dyDescent="0.25">
      <c r="A27" s="20"/>
      <c r="B27" s="20" t="s">
        <v>92</v>
      </c>
      <c r="C27" s="24" t="s">
        <v>192</v>
      </c>
      <c r="D27" s="23">
        <f>(SUM('Inputs Volumes &amp; Flows'!F63:F69)+SUM('Inputs Volumes &amp; Flows'!F72:F73))/1000</f>
        <v>143526581.70153582</v>
      </c>
    </row>
    <row r="28" spans="1:5" x14ac:dyDescent="0.25">
      <c r="A28" s="20"/>
      <c r="B28" s="20" t="s">
        <v>92</v>
      </c>
      <c r="C28" s="24" t="s">
        <v>195</v>
      </c>
      <c r="D28" s="23">
        <f>('Inputs Volumes &amp; Flows'!F75+'Inputs Volumes &amp; Flows'!F76)/1000</f>
        <v>45057614.582033895</v>
      </c>
    </row>
    <row r="29" spans="1:5" x14ac:dyDescent="0.25">
      <c r="A29" s="20"/>
      <c r="B29" s="20" t="s">
        <v>64</v>
      </c>
      <c r="C29" s="25" t="s">
        <v>164</v>
      </c>
      <c r="D29" s="95">
        <f>ROUND(D$10*((D7+D9))/(D25+D26),5)</f>
        <v>0.11971999999999999</v>
      </c>
      <c r="E29" s="21"/>
    </row>
    <row r="30" spans="1:5" x14ac:dyDescent="0.25">
      <c r="A30" s="20"/>
      <c r="B30" s="20" t="s">
        <v>64</v>
      </c>
      <c r="C30" s="25" t="s">
        <v>163</v>
      </c>
      <c r="D30" s="95">
        <f>ROUND((1-D$10)*((D7+D9))/(D27+D28),5)</f>
        <v>0.13256999999999999</v>
      </c>
      <c r="E30" s="21"/>
    </row>
    <row r="31" spans="1:5" hidden="1" x14ac:dyDescent="0.25">
      <c r="B31" s="27" t="s">
        <v>160</v>
      </c>
      <c r="C31" s="28"/>
      <c r="D31" s="28"/>
      <c r="E31" s="21"/>
    </row>
    <row r="32" spans="1:5" hidden="1" x14ac:dyDescent="0.25">
      <c r="A32" s="20"/>
      <c r="B32" s="20" t="s">
        <v>70</v>
      </c>
      <c r="C32" s="24" t="s">
        <v>93</v>
      </c>
      <c r="D32" s="79">
        <f>CWD!D65</f>
        <v>0.4426488782375157</v>
      </c>
      <c r="E32" s="21"/>
    </row>
    <row r="33" spans="1:10" hidden="1" x14ac:dyDescent="0.25">
      <c r="A33" s="20"/>
      <c r="B33" s="20" t="s">
        <v>99</v>
      </c>
      <c r="C33" s="24" t="s">
        <v>157</v>
      </c>
      <c r="D33" s="10">
        <f>CWD!D64</f>
        <v>75449105.223985434</v>
      </c>
      <c r="E33" s="21"/>
    </row>
    <row r="34" spans="1:10" hidden="1" x14ac:dyDescent="0.25">
      <c r="B34" s="27" t="s">
        <v>161</v>
      </c>
      <c r="C34" s="28"/>
      <c r="D34" s="28"/>
      <c r="E34" s="21"/>
    </row>
    <row r="35" spans="1:10" hidden="1" x14ac:dyDescent="0.25">
      <c r="A35" s="20"/>
      <c r="B35" s="20" t="s">
        <v>70</v>
      </c>
      <c r="C35" s="24" t="s">
        <v>93</v>
      </c>
      <c r="D35" s="79">
        <f>IFERROR(D36/(D25*D29+D27*D30),"")</f>
        <v>0.27795559026877642</v>
      </c>
      <c r="E35" s="21"/>
    </row>
    <row r="36" spans="1:10" hidden="1" x14ac:dyDescent="0.25">
      <c r="A36" s="20"/>
      <c r="B36" s="20" t="s">
        <v>99</v>
      </c>
      <c r="C36" s="24" t="s">
        <v>157</v>
      </c>
      <c r="D36" s="23">
        <f>(D25*D29+D27*D30)-D7</f>
        <v>10008865.451473176</v>
      </c>
      <c r="E36" s="21"/>
    </row>
    <row r="38" spans="1:10" x14ac:dyDescent="0.25">
      <c r="A38" s="32" t="s">
        <v>166</v>
      </c>
      <c r="B38" s="33"/>
      <c r="C38" s="34"/>
      <c r="D38" s="229"/>
      <c r="E38" s="229"/>
      <c r="F38" s="229"/>
      <c r="G38" s="229"/>
      <c r="H38" s="229"/>
      <c r="I38" s="229"/>
      <c r="J38" s="229"/>
    </row>
    <row r="39" spans="1:10" x14ac:dyDescent="0.25">
      <c r="D39" s="227" t="s">
        <v>19</v>
      </c>
      <c r="E39" s="228"/>
      <c r="F39" s="228"/>
      <c r="H39" s="227" t="s">
        <v>26</v>
      </c>
      <c r="I39" s="228"/>
      <c r="J39" s="227"/>
    </row>
    <row r="40" spans="1:10" x14ac:dyDescent="0.25">
      <c r="D40" s="224" t="s">
        <v>27</v>
      </c>
      <c r="E40" s="224" t="s">
        <v>28</v>
      </c>
      <c r="F40" s="224" t="s">
        <v>167</v>
      </c>
      <c r="H40" s="224" t="s">
        <v>27</v>
      </c>
      <c r="I40" s="224" t="s">
        <v>28</v>
      </c>
      <c r="J40" s="224" t="s">
        <v>167</v>
      </c>
    </row>
    <row r="41" spans="1:10" x14ac:dyDescent="0.25">
      <c r="B41" s="20" t="s">
        <v>168</v>
      </c>
      <c r="C41" s="74" t="s">
        <v>20</v>
      </c>
      <c r="D41" s="223">
        <f>CWD!Q15</f>
        <v>1.1100000000000001</v>
      </c>
      <c r="E41" s="225"/>
      <c r="F41" s="223">
        <f>D41</f>
        <v>1.1100000000000001</v>
      </c>
      <c r="H41" s="223">
        <f>CWD!Q30</f>
        <v>1.25</v>
      </c>
      <c r="I41" s="225"/>
      <c r="J41" s="223">
        <f>H41</f>
        <v>1.25</v>
      </c>
    </row>
    <row r="42" spans="1:10" x14ac:dyDescent="0.25">
      <c r="B42" s="20" t="s">
        <v>168</v>
      </c>
      <c r="C42" s="74" t="s">
        <v>21</v>
      </c>
      <c r="D42" s="223">
        <f>CWD!Q16</f>
        <v>2.97</v>
      </c>
      <c r="E42" s="225"/>
      <c r="F42" s="245">
        <f>CWD!F69</f>
        <v>2.61</v>
      </c>
      <c r="H42" s="223">
        <f>CWD!Q31</f>
        <v>2.48</v>
      </c>
      <c r="I42" s="225"/>
      <c r="J42" s="223">
        <f t="shared" ref="J42:J51" si="0">H42</f>
        <v>2.48</v>
      </c>
    </row>
    <row r="43" spans="1:10" x14ac:dyDescent="0.25">
      <c r="B43" s="20" t="s">
        <v>168</v>
      </c>
      <c r="C43" s="74" t="s">
        <v>22</v>
      </c>
      <c r="D43" s="223">
        <f>CWD!Q17</f>
        <v>2.97</v>
      </c>
      <c r="E43" s="223">
        <f>CWD!R17</f>
        <v>2.67</v>
      </c>
      <c r="F43" s="245">
        <f>CWD!F70</f>
        <v>2.61</v>
      </c>
      <c r="H43" s="223">
        <f>CWD!Q32</f>
        <v>2.48</v>
      </c>
      <c r="I43" s="223">
        <f>CWD!R32</f>
        <v>2.23</v>
      </c>
      <c r="J43" s="223">
        <f t="shared" si="0"/>
        <v>2.48</v>
      </c>
    </row>
    <row r="44" spans="1:10" x14ac:dyDescent="0.25">
      <c r="B44" s="20" t="s">
        <v>168</v>
      </c>
      <c r="C44" s="74" t="s">
        <v>34</v>
      </c>
      <c r="D44" s="225"/>
      <c r="E44" s="225"/>
      <c r="F44" s="250">
        <f>CWD!F71</f>
        <v>1.58</v>
      </c>
      <c r="H44" s="223">
        <f>CWD!Q33</f>
        <v>1.25</v>
      </c>
      <c r="I44" s="225"/>
      <c r="J44" s="223">
        <f t="shared" si="0"/>
        <v>1.25</v>
      </c>
    </row>
    <row r="45" spans="1:10" x14ac:dyDescent="0.25">
      <c r="B45" s="20" t="s">
        <v>168</v>
      </c>
      <c r="C45" s="74" t="s">
        <v>30</v>
      </c>
      <c r="D45" s="225"/>
      <c r="E45" s="225"/>
      <c r="F45" s="250">
        <f>CWD!F72</f>
        <v>1.35</v>
      </c>
      <c r="H45" s="247">
        <f>ROUND(IF(CWD!Q34&lt;&gt;0,CWD!Q34,CWD!F34/CWD!F33*CWD!Q33),2)</f>
        <v>1.17</v>
      </c>
      <c r="I45" s="225"/>
      <c r="J45" s="223">
        <f t="shared" si="0"/>
        <v>1.17</v>
      </c>
    </row>
    <row r="46" spans="1:10" x14ac:dyDescent="0.25">
      <c r="B46" s="20" t="s">
        <v>168</v>
      </c>
      <c r="C46" s="74" t="s">
        <v>29</v>
      </c>
      <c r="D46" s="225"/>
      <c r="E46" s="225"/>
      <c r="F46" s="250">
        <f>CWD!F73</f>
        <v>2.69</v>
      </c>
      <c r="H46" s="223">
        <f>CWD!Q35</f>
        <v>2.1800000000000002</v>
      </c>
      <c r="I46" s="225"/>
      <c r="J46" s="223">
        <f t="shared" si="0"/>
        <v>2.1800000000000002</v>
      </c>
    </row>
    <row r="47" spans="1:10" x14ac:dyDescent="0.25">
      <c r="B47" s="20" t="s">
        <v>168</v>
      </c>
      <c r="C47" s="74" t="s">
        <v>18</v>
      </c>
      <c r="D47" s="223">
        <f>CWD!Q21</f>
        <v>4.18</v>
      </c>
      <c r="E47" s="223">
        <f>CWD!R21</f>
        <v>3.77</v>
      </c>
      <c r="F47" s="223">
        <f t="shared" ref="F47:F50" si="1">D47</f>
        <v>4.18</v>
      </c>
      <c r="H47" s="223">
        <f>CWD!Q36</f>
        <v>3.47</v>
      </c>
      <c r="I47" s="225"/>
      <c r="J47" s="223">
        <f t="shared" si="0"/>
        <v>3.47</v>
      </c>
    </row>
    <row r="48" spans="1:10" x14ac:dyDescent="0.25">
      <c r="B48" s="20" t="s">
        <v>168</v>
      </c>
      <c r="C48" s="74" t="s">
        <v>196</v>
      </c>
      <c r="D48" s="223">
        <f>CWD!Q22</f>
        <v>0</v>
      </c>
      <c r="E48" s="225"/>
      <c r="F48" s="223">
        <f t="shared" si="1"/>
        <v>0</v>
      </c>
      <c r="H48" s="223">
        <f>CWD!Q37</f>
        <v>2.48</v>
      </c>
      <c r="I48" s="225"/>
      <c r="J48" s="223">
        <f t="shared" si="0"/>
        <v>2.48</v>
      </c>
    </row>
    <row r="49" spans="2:10" x14ac:dyDescent="0.25">
      <c r="B49" s="20" t="s">
        <v>168</v>
      </c>
      <c r="C49" s="74" t="s">
        <v>23</v>
      </c>
      <c r="D49" s="223">
        <f>CWD!Q23</f>
        <v>0</v>
      </c>
      <c r="E49" s="225"/>
      <c r="F49" s="223">
        <f t="shared" si="1"/>
        <v>0</v>
      </c>
      <c r="H49" s="223">
        <f>CWD!Q38</f>
        <v>1.25</v>
      </c>
      <c r="I49" s="225"/>
      <c r="J49" s="223">
        <f t="shared" si="0"/>
        <v>1.25</v>
      </c>
    </row>
    <row r="50" spans="2:10" x14ac:dyDescent="0.25">
      <c r="B50" s="20" t="s">
        <v>168</v>
      </c>
      <c r="C50" s="74" t="s">
        <v>31</v>
      </c>
      <c r="D50" s="223">
        <f>CWD!Q24</f>
        <v>0</v>
      </c>
      <c r="E50" s="225"/>
      <c r="F50" s="223">
        <f t="shared" si="1"/>
        <v>0</v>
      </c>
      <c r="H50" s="223">
        <f>CWD!Q39</f>
        <v>1.1100000000000001</v>
      </c>
      <c r="I50" s="223">
        <f>CWD!R39</f>
        <v>0.99</v>
      </c>
      <c r="J50" s="223">
        <f t="shared" si="0"/>
        <v>1.1100000000000001</v>
      </c>
    </row>
    <row r="51" spans="2:10" x14ac:dyDescent="0.25">
      <c r="B51" s="20" t="s">
        <v>168</v>
      </c>
      <c r="C51" s="74" t="s">
        <v>165</v>
      </c>
      <c r="D51" s="226"/>
      <c r="E51" s="226"/>
      <c r="F51" s="226"/>
      <c r="H51" s="223">
        <f>CWD!Q51</f>
        <v>2.7</v>
      </c>
      <c r="I51" s="225"/>
      <c r="J51" s="223">
        <f t="shared" si="0"/>
        <v>2.7</v>
      </c>
    </row>
    <row r="52" spans="2:10" x14ac:dyDescent="0.25">
      <c r="D52" s="9"/>
      <c r="E52" s="9"/>
      <c r="F52" s="9"/>
      <c r="H52" s="9"/>
      <c r="I52" s="9"/>
      <c r="J52" s="9"/>
    </row>
    <row r="53" spans="2:10" x14ac:dyDescent="0.25">
      <c r="B53" s="238" t="s">
        <v>174</v>
      </c>
      <c r="D53" s="9"/>
      <c r="E53" s="9"/>
      <c r="H53" s="9"/>
      <c r="I53" s="9"/>
      <c r="J53" s="9"/>
    </row>
    <row r="54" spans="2:10" x14ac:dyDescent="0.25">
      <c r="B54" s="249">
        <v>1.23</v>
      </c>
      <c r="C54" s="239" t="s">
        <v>180</v>
      </c>
      <c r="D54" s="9"/>
      <c r="E54" s="9"/>
      <c r="F54" s="9"/>
      <c r="H54" s="9"/>
      <c r="I54" s="9"/>
      <c r="J54" s="9"/>
    </row>
    <row r="55" spans="2:10" x14ac:dyDescent="0.25">
      <c r="B55" s="246">
        <v>1.23</v>
      </c>
      <c r="C55" s="239" t="s">
        <v>181</v>
      </c>
    </row>
    <row r="56" spans="2:10" x14ac:dyDescent="0.25">
      <c r="B56" s="251">
        <v>1.23</v>
      </c>
      <c r="C56" s="239" t="s">
        <v>182</v>
      </c>
    </row>
    <row r="57" spans="2:10" x14ac:dyDescent="0.25">
      <c r="B57" s="248">
        <v>1.23</v>
      </c>
      <c r="C57" s="240" t="s">
        <v>178</v>
      </c>
    </row>
    <row r="58" spans="2:10" x14ac:dyDescent="0.25">
      <c r="B58" s="237"/>
      <c r="C58" s="239" t="s">
        <v>179</v>
      </c>
    </row>
  </sheetData>
  <sheetProtection algorithmName="SHA-512" hashValue="5vIvh97B9hv/JHdQLgyrrAbY/IcZ0lH9aC6WpM9DB52ec2M8MnOxPixA7iWnG6sejKvwBQRVN4hk6qrKr+czTw==" saltValue="kCqmtctEBQr/600qZFqpcA==" spinCount="100000" sheet="1" objects="1" scenarios="1" selectLockedCells="1"/>
  <mergeCells count="1">
    <mergeCell ref="B2:D2"/>
  </mergeCells>
  <phoneticPr fontId="4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8B3C-B71C-4BBA-BCCB-530E8A5659CA}">
  <sheetPr>
    <tabColor rgb="FF0A4669"/>
  </sheetPr>
  <dimension ref="A2:AG73"/>
  <sheetViews>
    <sheetView showGridLines="0" workbookViewId="0">
      <pane xSplit="5" topLeftCell="F1" activePane="topRight" state="frozen"/>
      <selection pane="topRight" activeCell="D69" sqref="D69"/>
    </sheetView>
  </sheetViews>
  <sheetFormatPr baseColWidth="10" defaultRowHeight="15" x14ac:dyDescent="0.25"/>
  <cols>
    <col min="1" max="1" width="3.42578125" customWidth="1"/>
    <col min="2" max="2" width="17.7109375" customWidth="1"/>
    <col min="3" max="4" width="12.85546875" customWidth="1"/>
    <col min="5" max="5" width="2.28515625" customWidth="1"/>
    <col min="6" max="9" width="12.85546875" customWidth="1"/>
    <col min="10" max="10" width="2.28515625" customWidth="1"/>
    <col min="11" max="11" width="12.5703125" bestFit="1" customWidth="1"/>
    <col min="13" max="13" width="2.28515625" customWidth="1"/>
    <col min="16" max="16" width="2.28515625" customWidth="1"/>
    <col min="17" max="18" width="13.42578125" customWidth="1"/>
    <col min="19" max="19" width="2.28515625" customWidth="1"/>
    <col min="29" max="33" width="14" customWidth="1"/>
  </cols>
  <sheetData>
    <row r="2" spans="1:33" x14ac:dyDescent="0.25">
      <c r="A2" s="26" t="s">
        <v>101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AC2" s="26"/>
      <c r="AD2" s="26"/>
      <c r="AE2" s="26"/>
      <c r="AF2" s="26"/>
      <c r="AG2" s="26"/>
    </row>
    <row r="3" spans="1:33" x14ac:dyDescent="0.25">
      <c r="C3" s="2" t="s">
        <v>102</v>
      </c>
    </row>
    <row r="4" spans="1:33" x14ac:dyDescent="0.25">
      <c r="A4" s="15" t="s">
        <v>17</v>
      </c>
      <c r="B4" s="96" t="s">
        <v>0</v>
      </c>
      <c r="C4" s="3">
        <f>Results!D6</f>
        <v>95000000</v>
      </c>
    </row>
    <row r="5" spans="1:33" x14ac:dyDescent="0.25">
      <c r="A5" s="15" t="s">
        <v>17</v>
      </c>
      <c r="B5" s="96" t="s">
        <v>13</v>
      </c>
      <c r="C5" s="3">
        <f>Results!D8</f>
        <v>155000000</v>
      </c>
    </row>
    <row r="6" spans="1:33" x14ac:dyDescent="0.25">
      <c r="A6" s="15" t="s">
        <v>17</v>
      </c>
      <c r="B6" t="s">
        <v>52</v>
      </c>
      <c r="C6" s="3">
        <f>SUM(C4:C5)</f>
        <v>250000000</v>
      </c>
    </row>
    <row r="7" spans="1:33" x14ac:dyDescent="0.25">
      <c r="A7" s="15"/>
      <c r="B7" t="s">
        <v>100</v>
      </c>
      <c r="C7" s="97">
        <f>Results!D10</f>
        <v>0.5</v>
      </c>
      <c r="F7" s="97"/>
    </row>
    <row r="8" spans="1:33" x14ac:dyDescent="0.25">
      <c r="A8" s="15" t="s">
        <v>17</v>
      </c>
      <c r="B8" t="s">
        <v>103</v>
      </c>
      <c r="C8" s="3">
        <f>C7*C6</f>
        <v>125000000</v>
      </c>
      <c r="F8" s="97"/>
    </row>
    <row r="9" spans="1:33" x14ac:dyDescent="0.25">
      <c r="A9" s="15" t="s">
        <v>17</v>
      </c>
      <c r="B9" t="s">
        <v>104</v>
      </c>
      <c r="C9" s="3">
        <f>(1-C7)*C6</f>
        <v>125000000</v>
      </c>
      <c r="F9" s="97"/>
    </row>
    <row r="10" spans="1:33" x14ac:dyDescent="0.25">
      <c r="A10" s="15"/>
      <c r="C10" s="3"/>
      <c r="F10" s="97"/>
    </row>
    <row r="11" spans="1:33" x14ac:dyDescent="0.25">
      <c r="A11" s="26" t="s">
        <v>114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AC11" s="26"/>
      <c r="AD11" s="26"/>
      <c r="AE11" s="26"/>
      <c r="AF11" s="26"/>
      <c r="AG11" s="26"/>
    </row>
    <row r="12" spans="1:33" x14ac:dyDescent="0.25">
      <c r="F12" s="102" t="s">
        <v>115</v>
      </c>
      <c r="G12" s="102"/>
      <c r="H12" s="102"/>
      <c r="I12" s="102"/>
      <c r="K12" s="103" t="s">
        <v>116</v>
      </c>
      <c r="L12" s="103"/>
      <c r="N12" s="106" t="s">
        <v>121</v>
      </c>
      <c r="O12" s="106"/>
      <c r="Q12" s="104" t="s">
        <v>172</v>
      </c>
      <c r="R12" s="104"/>
    </row>
    <row r="13" spans="1:33" x14ac:dyDescent="0.25">
      <c r="C13" s="81" t="s">
        <v>32</v>
      </c>
      <c r="D13" s="81" t="s">
        <v>32</v>
      </c>
      <c r="F13" s="81" t="s">
        <v>33</v>
      </c>
      <c r="G13" s="2"/>
      <c r="H13" s="81" t="s">
        <v>107</v>
      </c>
      <c r="I13" s="81" t="s">
        <v>107</v>
      </c>
      <c r="K13" s="81" t="s">
        <v>107</v>
      </c>
      <c r="L13" s="81" t="s">
        <v>107</v>
      </c>
      <c r="N13" s="81" t="s">
        <v>107</v>
      </c>
      <c r="O13" s="81" t="s">
        <v>107</v>
      </c>
      <c r="Q13" s="81" t="s">
        <v>107</v>
      </c>
      <c r="R13" s="81" t="s">
        <v>107</v>
      </c>
    </row>
    <row r="14" spans="1:33" ht="30" x14ac:dyDescent="0.25">
      <c r="A14" s="15"/>
      <c r="C14" s="99" t="s">
        <v>110</v>
      </c>
      <c r="D14" s="99" t="s">
        <v>111</v>
      </c>
      <c r="F14" s="6" t="s">
        <v>105</v>
      </c>
      <c r="G14" s="6" t="s">
        <v>106</v>
      </c>
      <c r="H14" s="6" t="s">
        <v>108</v>
      </c>
      <c r="I14" s="6" t="s">
        <v>109</v>
      </c>
      <c r="K14" s="6" t="s">
        <v>112</v>
      </c>
      <c r="L14" s="6" t="s">
        <v>113</v>
      </c>
      <c r="N14" s="6" t="s">
        <v>122</v>
      </c>
      <c r="O14" s="6" t="s">
        <v>123</v>
      </c>
      <c r="Q14" s="6" t="s">
        <v>90</v>
      </c>
      <c r="R14" s="6" t="s">
        <v>91</v>
      </c>
    </row>
    <row r="15" spans="1:33" ht="15.75" thickBot="1" x14ac:dyDescent="0.3">
      <c r="A15" s="15"/>
      <c r="B15" t="s">
        <v>20</v>
      </c>
      <c r="C15" s="3">
        <f>'Inputs Volumes &amp; Flows'!F5+'Inputs Volumes &amp; Flows'!F27</f>
        <v>25785675.652113322</v>
      </c>
      <c r="D15" s="31">
        <v>0</v>
      </c>
      <c r="F15" s="16" cm="1">
        <f t="array" ref="F15">(SUMPRODUCT($C$30:$C$54,TRANSPOSE(Distances!$F4:$AD4))+SUMPRODUCT($D$30:$D$54,TRANSPOSE(Distances!$F4:$AD4),TRANSPOSE(Distances!$F91:$AD91)))/(SUMPRODUCT(TRANSPOSE($C$30:$C$54)*(Distances!$F4:$AD4&lt;&gt;0))+SUMPRODUCT(TRANSPOSE($D$30:$D$54)*(Distances!$F4:$AD4&lt;&gt;0)*Distances!$F91:$AD91))</f>
        <v>114.86639915761913</v>
      </c>
      <c r="G15" s="98" cm="1">
        <f t="array" ref="G15">F15*SUM(C15:D15)/SUMPRODUCT($F$15:$F$24*($C$15:$C$24+$D$15:$D$24))</f>
        <v>0.21570251087583392</v>
      </c>
      <c r="H15" s="19">
        <f>IFERROR(G15*$C$8/(C15+D15*(1-Results!$D$13)),0)</f>
        <v>1.0456508576019974</v>
      </c>
      <c r="I15" s="19">
        <f>IF($D15&gt;0,H15*(1-Results!$D$13),0)</f>
        <v>0</v>
      </c>
      <c r="K15" s="19">
        <f>H15</f>
        <v>1.0456508576019974</v>
      </c>
      <c r="L15" s="19">
        <f>IF($D15&gt;0,K15*(1-Results!$D$13),0)</f>
        <v>0</v>
      </c>
      <c r="N15" s="19">
        <f t="shared" ref="N15:N21" si="0">K15</f>
        <v>1.0456508576019974</v>
      </c>
      <c r="O15" s="19">
        <f>IF($D15&gt;0,N15*(1-Results!$D$13),0)</f>
        <v>0</v>
      </c>
      <c r="Q15" s="231">
        <f t="shared" ref="Q15:Q24" si="1">ROUND(N15*$D$59,2)</f>
        <v>1.1100000000000001</v>
      </c>
      <c r="R15" s="231">
        <f t="shared" ref="R15:R24" si="2">ROUND(O15*$D$59,2)</f>
        <v>0</v>
      </c>
      <c r="AD15" s="3"/>
    </row>
    <row r="16" spans="1:33" x14ac:dyDescent="0.25">
      <c r="A16" s="15"/>
      <c r="B16" t="s">
        <v>21</v>
      </c>
      <c r="C16" s="3">
        <f>'Inputs Volumes &amp; Flows'!F6</f>
        <v>10987013.31882192</v>
      </c>
      <c r="D16" s="31">
        <v>0</v>
      </c>
      <c r="F16" s="16" cm="1">
        <f t="array" ref="F16">(SUMPRODUCT($C$30:$C$54,TRANSPOSE(Distances!$F5:$AD5))+SUMPRODUCT($D$30:$D$54,TRANSPOSE(Distances!$F5:$AD5),TRANSPOSE(Distances!$F92:$AD92)))/(SUMPRODUCT(TRANSPOSE($C$30:$C$54)*(Distances!$F5:$AD5&lt;&gt;0))+SUMPRODUCT(TRANSPOSE($D$30:$D$54)*(Distances!$F5:$AD5&lt;&gt;0)*Distances!$F92:$AD92))</f>
        <v>279.83096380572351</v>
      </c>
      <c r="G16" s="98" cm="1">
        <f t="array" ref="G16">F16*SUM(C16:D16)/SUMPRODUCT($F$15:$F$24*($C$15:$C$24+$D$15:$D$24))</f>
        <v>0.22390257966190871</v>
      </c>
      <c r="H16" s="19">
        <f>IFERROR(G16*$C$8/(C16+D16*(1-Results!$D$13)),0)</f>
        <v>2.5473549221782119</v>
      </c>
      <c r="I16" s="19">
        <f>IF($D16&gt;0,H16*(1-Results!$D$13),0)</f>
        <v>0</v>
      </c>
      <c r="K16" s="100">
        <f>(SUMPRODUCT(C16:D16,H16:I16)+SUMPRODUCT(C17:D17,H17:I17))/(SUM(C16:C17)+SUM(D16:D17)*(1-Results!$D$13))</f>
        <v>2.799050626954052</v>
      </c>
      <c r="L16" s="19">
        <f>IF($D16&gt;0,K16*(1-Results!$D$13),0)</f>
        <v>0</v>
      </c>
      <c r="N16" s="19">
        <f t="shared" si="0"/>
        <v>2.799050626954052</v>
      </c>
      <c r="O16" s="19">
        <f>IF($D16&gt;0,N16*(1-Results!$D$13),0)</f>
        <v>0</v>
      </c>
      <c r="Q16" s="231">
        <f t="shared" si="1"/>
        <v>2.97</v>
      </c>
      <c r="R16" s="231">
        <f t="shared" si="2"/>
        <v>0</v>
      </c>
    </row>
    <row r="17" spans="1:33" ht="15.75" thickBot="1" x14ac:dyDescent="0.3">
      <c r="A17" s="15"/>
      <c r="B17" t="s">
        <v>22</v>
      </c>
      <c r="C17" s="3">
        <f>'Inputs Volumes &amp; Flows'!F7</f>
        <v>2230891.0150684929</v>
      </c>
      <c r="D17" s="3">
        <f>'Inputs Volumes &amp; Flows'!F19</f>
        <v>3357000</v>
      </c>
      <c r="F17" s="16" cm="1">
        <f t="array" ref="F17">(SUMPRODUCT($C$30:$C$54,TRANSPOSE(Distances!$F6:$AD6))+SUMPRODUCT($D$30:$D$54,TRANSPOSE(Distances!$F6:$AD6),TRANSPOSE(Distances!$F93:$AD93)))/(SUMPRODUCT(TRANSPOSE($C$30:$C$54)*(Distances!$F6:$AD6&lt;&gt;0))+SUMPRODUCT(TRANSPOSE($D$30:$D$54)*(Distances!$F6:$AD6&lt;&gt;0)*Distances!$F93:$AD93))</f>
        <v>343.3721604445505</v>
      </c>
      <c r="G17" s="98" cm="1">
        <f t="array" ref="G17">F17*SUM(C17:D17)/SUMPRODUCT($F$15:$F$24*($C$15:$C$24+$D$15:$D$24))</f>
        <v>0.13973226091417859</v>
      </c>
      <c r="H17" s="19">
        <f>IFERROR(G17*$C$8/(C17+D17*(1-Results!$D$13)),0)</f>
        <v>3.3255707121391787</v>
      </c>
      <c r="I17" s="19">
        <f>IF($D17&gt;0,H17*(1-Results!$D$13),0)</f>
        <v>2.9930136409252608</v>
      </c>
      <c r="K17" s="101">
        <f>(SUMPRODUCT(C16:D16,H16:I16)+SUMPRODUCT(C17:D17,H17:I17)+SUMPRODUCT(C22:D22,H22:I22))/(SUM(C16:C17,C22)+SUM(D16:D17,D22)*(1-Results!$D$13))</f>
        <v>2.799050626954052</v>
      </c>
      <c r="L17" s="19">
        <f>IF($D17&gt;0,K17*(1-Results!$D$13),0)</f>
        <v>2.5191455642586469</v>
      </c>
      <c r="N17" s="19">
        <f t="shared" si="0"/>
        <v>2.799050626954052</v>
      </c>
      <c r="O17" s="19">
        <f>IF($D17&gt;0,N17*(1-Results!$D$13),0)</f>
        <v>2.5191455642586469</v>
      </c>
      <c r="Q17" s="231">
        <f t="shared" si="1"/>
        <v>2.97</v>
      </c>
      <c r="R17" s="231">
        <f t="shared" si="2"/>
        <v>2.67</v>
      </c>
    </row>
    <row r="18" spans="1:33" x14ac:dyDescent="0.25">
      <c r="A18" s="15"/>
      <c r="B18" t="s">
        <v>34</v>
      </c>
      <c r="C18" s="3">
        <f>'Inputs Volumes &amp; Flows'!F8</f>
        <v>0</v>
      </c>
      <c r="D18" s="31">
        <v>0</v>
      </c>
      <c r="F18" s="16" cm="1">
        <f t="array" ref="F18">(SUMPRODUCT($C$30:$C$54,TRANSPOSE(Distances!$F7:$AD7))+SUMPRODUCT($D$30:$D$54,TRANSPOSE(Distances!$F7:$AD7),TRANSPOSE(Distances!$F94:$AD94)))/(SUMPRODUCT(TRANSPOSE($C$30:$C$54)*(Distances!$F7:$AD7&lt;&gt;0))+SUMPRODUCT(TRANSPOSE($D$30:$D$54)*(Distances!$F7:$AD7&lt;&gt;0)*Distances!$F94:$AD94))</f>
        <v>163.13375873591394</v>
      </c>
      <c r="G18" s="98" cm="1">
        <f t="array" ref="G18">F18*SUM(C18:D18)/SUMPRODUCT($F$15:$F$24*($C$15:$C$24+$D$15:$D$24))</f>
        <v>0</v>
      </c>
      <c r="H18" s="19">
        <f>IFERROR(G18*$C$8/(C18+D18*(1-Results!$D$13)),0)</f>
        <v>0</v>
      </c>
      <c r="I18" s="19">
        <f>IF($D18&gt;0,H18*(1-Results!$D$13),0)</f>
        <v>0</v>
      </c>
      <c r="K18" s="19">
        <f>H18</f>
        <v>0</v>
      </c>
      <c r="L18" s="19">
        <f>IF($D18&gt;0,K18*(1-Results!$D$13),0)</f>
        <v>0</v>
      </c>
      <c r="N18" s="19">
        <f t="shared" si="0"/>
        <v>0</v>
      </c>
      <c r="O18" s="19">
        <f>IF($D18&gt;0,N18*(1-Results!$D$13),0)</f>
        <v>0</v>
      </c>
      <c r="Q18" s="231">
        <f t="shared" si="1"/>
        <v>0</v>
      </c>
      <c r="R18" s="231">
        <f t="shared" si="2"/>
        <v>0</v>
      </c>
    </row>
    <row r="19" spans="1:33" x14ac:dyDescent="0.25">
      <c r="A19" s="15"/>
      <c r="B19" t="s">
        <v>30</v>
      </c>
      <c r="C19" s="3">
        <f>'Inputs Volumes &amp; Flows'!F9</f>
        <v>0</v>
      </c>
      <c r="D19" s="31">
        <v>0</v>
      </c>
      <c r="F19" s="16" cm="1">
        <f t="array" ref="F19">(SUMPRODUCT($C$30:$C$54,TRANSPOSE(Distances!$F8:$AD8))+SUMPRODUCT($D$30:$D$54,TRANSPOSE(Distances!$F8:$AD8),TRANSPOSE(Distances!$F95:$AD95)))/(SUMPRODUCT(TRANSPOSE($C$30:$C$54)*(Distances!$F8:$AD8&lt;&gt;0))+SUMPRODUCT(TRANSPOSE($D$30:$D$54)*(Distances!$F8:$AD8&lt;&gt;0)*Distances!$F95:$AD95))</f>
        <v>139.65275033559092</v>
      </c>
      <c r="G19" s="98" cm="1">
        <f t="array" ref="G19">F19*SUM(C19:D19)/SUMPRODUCT($F$15:$F$24*($C$15:$C$24+$D$15:$D$24))</f>
        <v>0</v>
      </c>
      <c r="H19" s="19">
        <f>IFERROR(G19*$C$8/(C19+D19*(1-Results!$D$13)),0)</f>
        <v>0</v>
      </c>
      <c r="I19" s="19">
        <f>IF($D19&gt;0,H19*(1-Results!$D$13),0)</f>
        <v>0</v>
      </c>
      <c r="K19" s="19">
        <f>H19</f>
        <v>0</v>
      </c>
      <c r="L19" s="19">
        <f>IF($D19&gt;0,K19*(1-Results!$D$13),0)</f>
        <v>0</v>
      </c>
      <c r="N19" s="19">
        <f t="shared" si="0"/>
        <v>0</v>
      </c>
      <c r="O19" s="19">
        <f>IF($D19&gt;0,N19*(1-Results!$D$13),0)</f>
        <v>0</v>
      </c>
      <c r="Q19" s="231">
        <f t="shared" si="1"/>
        <v>0</v>
      </c>
      <c r="R19" s="231">
        <f t="shared" si="2"/>
        <v>0</v>
      </c>
    </row>
    <row r="20" spans="1:33" x14ac:dyDescent="0.25">
      <c r="A20" s="15"/>
      <c r="B20" t="s">
        <v>29</v>
      </c>
      <c r="C20" s="3">
        <f>'Inputs Volumes &amp; Flows'!F10</f>
        <v>0</v>
      </c>
      <c r="D20" s="31">
        <v>0</v>
      </c>
      <c r="F20" s="16" cm="1">
        <f t="array" ref="F20">(SUMPRODUCT($C$30:$C$54,TRANSPOSE(Distances!$F9:$AD9))+SUMPRODUCT($D$30:$D$54,TRANSPOSE(Distances!$F9:$AD9),TRANSPOSE(Distances!$F96:$AD96)))/(SUMPRODUCT(TRANSPOSE($C$30:$C$54)*(Distances!$F9:$AD9&lt;&gt;0))+SUMPRODUCT(TRANSPOSE($D$30:$D$54)*(Distances!$F9:$AD9&lt;&gt;0)*Distances!$F96:$AD96))</f>
        <v>276.94704821883755</v>
      </c>
      <c r="G20" s="98" cm="1">
        <f t="array" ref="G20">F20*SUM(C20:D20)/SUMPRODUCT($F$15:$F$24*($C$15:$C$24+$D$15:$D$24))</f>
        <v>0</v>
      </c>
      <c r="H20" s="19">
        <f>IFERROR(G20*$C$8/(C20+D20*(1-Results!$D$13)),0)</f>
        <v>0</v>
      </c>
      <c r="I20" s="19">
        <f>IF($D20&gt;0,H20*(1-Results!$D$13),0)</f>
        <v>0</v>
      </c>
      <c r="K20" s="19">
        <f>H20</f>
        <v>0</v>
      </c>
      <c r="L20" s="19">
        <f>IF($D20&gt;0,K20*(1-Results!$D$13),0)</f>
        <v>0</v>
      </c>
      <c r="N20" s="19">
        <f t="shared" si="0"/>
        <v>0</v>
      </c>
      <c r="O20" s="19">
        <f>IF($D20&gt;0,N20*(1-Results!$D$13),0)</f>
        <v>0</v>
      </c>
      <c r="Q20" s="231">
        <f t="shared" si="1"/>
        <v>0</v>
      </c>
      <c r="R20" s="231">
        <f t="shared" si="2"/>
        <v>0</v>
      </c>
    </row>
    <row r="21" spans="1:33" ht="15.75" thickBot="1" x14ac:dyDescent="0.3">
      <c r="A21" s="15"/>
      <c r="B21" t="s">
        <v>18</v>
      </c>
      <c r="C21" s="3">
        <f>'Inputs Volumes &amp; Flows'!F28</f>
        <v>9181042.8058602996</v>
      </c>
      <c r="D21" s="3">
        <f>'Inputs Volumes &amp; Flows'!F32</f>
        <v>521331</v>
      </c>
      <c r="F21" s="16" cm="1">
        <f t="array" ref="F21">(SUMPRODUCT($C$30:$C$54,TRANSPOSE(Distances!$F10:$AD10))+SUMPRODUCT($D$30:$D$54,TRANSPOSE(Distances!$F10:$AD10),TRANSPOSE(Distances!$F97:$AD97)))/(SUMPRODUCT(TRANSPOSE($C$30:$C$54)*(Distances!$F10:$AD10&lt;&gt;0))+SUMPRODUCT(TRANSPOSE($D$30:$D$54)*(Distances!$F10:$AD10&lt;&gt;0)*Distances!$F97:$AD97))</f>
        <v>430.61321125556242</v>
      </c>
      <c r="G21" s="98" cm="1">
        <f t="array" ref="G21">F21*SUM(C21:D21)/SUMPRODUCT($F$15:$F$24*($C$15:$C$24+$D$15:$D$24))</f>
        <v>0.30426292127198545</v>
      </c>
      <c r="H21" s="19">
        <f>IFERROR(G21*$C$8/(C21+D21*(1-Results!$D$13)),0)</f>
        <v>3.9411312441048203</v>
      </c>
      <c r="I21" s="19">
        <f>IF($D21&gt;0,H21*(1-Results!$D$13),0)</f>
        <v>3.5470181196943384</v>
      </c>
      <c r="K21" s="19">
        <f>H21</f>
        <v>3.9411312441048203</v>
      </c>
      <c r="L21" s="19">
        <f>IF($D21&gt;0,K21*(1-Results!$D$13),0)</f>
        <v>3.5470181196943384</v>
      </c>
      <c r="N21" s="19">
        <f t="shared" si="0"/>
        <v>3.9411312441048203</v>
      </c>
      <c r="O21" s="19">
        <f>IF($D21&gt;0,N21*(1-Results!$D$13),0)</f>
        <v>3.5470181196943384</v>
      </c>
      <c r="Q21" s="231">
        <f t="shared" si="1"/>
        <v>4.18</v>
      </c>
      <c r="R21" s="231">
        <f t="shared" si="2"/>
        <v>3.77</v>
      </c>
    </row>
    <row r="22" spans="1:33" ht="15.75" thickBot="1" x14ac:dyDescent="0.3">
      <c r="A22" s="15"/>
      <c r="B22" t="s">
        <v>196</v>
      </c>
      <c r="C22" s="3">
        <f>'Inputs Volumes &amp; Flows'!F23</f>
        <v>0</v>
      </c>
      <c r="D22" s="31">
        <v>0</v>
      </c>
      <c r="F22" s="16" cm="1">
        <f t="array" ref="F22">(SUMPRODUCT($C$30:$C$54,TRANSPOSE(Distances!$F11:$AD11))+SUMPRODUCT($D$30:$D$54,TRANSPOSE(Distances!$F11:$AD11),TRANSPOSE(Distances!$F98:$AD98)))/(SUMPRODUCT(TRANSPOSE($C$30:$C$54)*(Distances!$F11:$AD11&lt;&gt;0))+SUMPRODUCT(TRANSPOSE($D$30:$D$54)*(Distances!$F11:$AD11&lt;&gt;0)*Distances!$F98:$AD98))</f>
        <v>338.72831486745343</v>
      </c>
      <c r="G22" s="98" cm="1">
        <f t="array" ref="G22">F22*SUM(C22:D22)/SUMPRODUCT($F$15:$F$24*($C$15:$C$24+$D$15:$D$24))</f>
        <v>0</v>
      </c>
      <c r="H22" s="19">
        <f>IFERROR(G22*$C$8/(C22+D22*(1-Results!$D$13)),0)</f>
        <v>0</v>
      </c>
      <c r="I22" s="19">
        <f>IF($D22&gt;0,H22*(1-Results!$D$13),0)</f>
        <v>0</v>
      </c>
      <c r="K22" s="105">
        <f>(SUMPRODUCT(C16:D16,H16:I16)+SUMPRODUCT(C17:D17,H17:I17)+SUMPRODUCT(C22:D22,H22:I22))/(SUM(C16:C17,C22)+SUM(D16:D17,D22)*(1-Results!$D$13))</f>
        <v>2.799050626954052</v>
      </c>
      <c r="L22" s="19">
        <f>IF($D22&gt;0,K22*(1-Results!$D$13),0)</f>
        <v>0</v>
      </c>
      <c r="N22" s="107">
        <f>K22*(1-Results!$D$14)</f>
        <v>0</v>
      </c>
      <c r="O22" s="19">
        <f>IF($D22&gt;0,N22*(1-Results!$D$13),0)</f>
        <v>0</v>
      </c>
      <c r="Q22" s="231">
        <f t="shared" si="1"/>
        <v>0</v>
      </c>
      <c r="R22" s="231">
        <f t="shared" si="2"/>
        <v>0</v>
      </c>
    </row>
    <row r="23" spans="1:33" ht="15.75" thickBot="1" x14ac:dyDescent="0.3">
      <c r="A23" s="15"/>
      <c r="B23" t="s">
        <v>23</v>
      </c>
      <c r="C23" s="3">
        <f>'Inputs Volumes &amp; Flows'!F24</f>
        <v>8672911.2795048263</v>
      </c>
      <c r="D23" s="31">
        <v>0</v>
      </c>
      <c r="F23" s="16" cm="1">
        <f t="array" ref="F23">(SUMPRODUCT($C$30:$C$54,TRANSPOSE(Distances!$F12:$AD12))+SUMPRODUCT($D$30:$D$54,TRANSPOSE(Distances!$F12:$AD12),TRANSPOSE(Distances!$F99:$AD99)))/(SUMPRODUCT(TRANSPOSE($C$30:$C$54)*(Distances!$F12:$AD12&lt;&gt;0))+SUMPRODUCT(TRANSPOSE($D$30:$D$54)*(Distances!$F12:$AD12&lt;&gt;0)*Distances!$F99:$AD99))</f>
        <v>126.68341690708647</v>
      </c>
      <c r="G23" s="98" cm="1">
        <f t="array" ref="G23">F23*SUM(C23:D23)/SUMPRODUCT($F$15:$F$24*($C$15:$C$24+$D$15:$D$24))</f>
        <v>8.0014436376261225E-2</v>
      </c>
      <c r="H23" s="19">
        <f>IFERROR(G23*$C$8/(C23+D23*(1-Results!$D$13)),0)</f>
        <v>1.1532234361336275</v>
      </c>
      <c r="I23" s="19">
        <f>IF($D23&gt;0,H23*(1-Results!$D$13),0)</f>
        <v>0</v>
      </c>
      <c r="K23" s="19">
        <f>H23</f>
        <v>1.1532234361336275</v>
      </c>
      <c r="L23" s="19">
        <f>IF($D23&gt;0,K23*(1-Results!$D$13),0)</f>
        <v>0</v>
      </c>
      <c r="N23" s="108">
        <f>K23*(1-Results!$D$14)</f>
        <v>0</v>
      </c>
      <c r="O23" s="19">
        <f>IF($D23&gt;0,N23*(1-Results!$D$13),0)</f>
        <v>0</v>
      </c>
      <c r="Q23" s="231">
        <f t="shared" si="1"/>
        <v>0</v>
      </c>
      <c r="R23" s="231">
        <f t="shared" si="2"/>
        <v>0</v>
      </c>
    </row>
    <row r="24" spans="1:33" ht="15.75" thickBot="1" x14ac:dyDescent="0.3">
      <c r="A24" s="15"/>
      <c r="B24" t="s">
        <v>31</v>
      </c>
      <c r="C24" s="3">
        <f>'Inputs Volumes &amp; Flows'!F11</f>
        <v>4028400.0000000009</v>
      </c>
      <c r="D24" s="31">
        <v>0</v>
      </c>
      <c r="F24" s="16" cm="1">
        <f t="array" ref="F24">(SUMPRODUCT($C$30:$C$54,TRANSPOSE(Distances!$F13:$AD13))+SUMPRODUCT($D$30:$D$54,TRANSPOSE(Distances!$F13:$AD13),TRANSPOSE(Distances!$F100:$AD100)))/(SUMPRODUCT(TRANSPOSE($C$30:$C$54)*(Distances!$F13:$AD13&lt;&gt;0))+SUMPRODUCT(TRANSPOSE($D$30:$D$54)*(Distances!$F13:$AD13&lt;&gt;0)*Distances!$F100:$AD100))</f>
        <v>124.02510008004944</v>
      </c>
      <c r="G24" s="98" cm="1">
        <f t="array" ref="G24">F24*SUM(C24:D24)/SUMPRODUCT($F$15:$F$24*($C$15:$C$24+$D$15:$D$24))</f>
        <v>3.6385290899832085E-2</v>
      </c>
      <c r="H24" s="19">
        <f>IFERROR(G24*$C$8/(C24+D24*(1-Results!$D$13)),0)</f>
        <v>1.1290242683147178</v>
      </c>
      <c r="I24" s="19">
        <f>IF($D24&gt;0,H24*(1-Results!$D$13),0)</f>
        <v>0</v>
      </c>
      <c r="K24" s="19">
        <f>H24</f>
        <v>1.1290242683147178</v>
      </c>
      <c r="L24" s="19">
        <f>IF($D24&gt;0,K24*(1-Results!$D$13),0)</f>
        <v>0</v>
      </c>
      <c r="N24" s="108">
        <f>K24*(1-Results!$D$14)</f>
        <v>0</v>
      </c>
      <c r="O24" s="19">
        <f>IF($D24&gt;0,N24*(1-Results!$D$13),0)</f>
        <v>0</v>
      </c>
      <c r="Q24" s="231">
        <f t="shared" si="1"/>
        <v>0</v>
      </c>
      <c r="R24" s="231">
        <f t="shared" si="2"/>
        <v>0</v>
      </c>
    </row>
    <row r="25" spans="1:33" x14ac:dyDescent="0.25">
      <c r="A25" s="15"/>
      <c r="C25" s="31"/>
      <c r="D25" s="31"/>
      <c r="F25" s="97"/>
    </row>
    <row r="26" spans="1:33" x14ac:dyDescent="0.25">
      <c r="A26" s="26" t="s">
        <v>117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AC26" s="26"/>
      <c r="AD26" s="26"/>
      <c r="AE26" s="26"/>
      <c r="AF26" s="26"/>
      <c r="AG26" s="26"/>
    </row>
    <row r="27" spans="1:33" x14ac:dyDescent="0.25">
      <c r="F27" s="102" t="s">
        <v>118</v>
      </c>
      <c r="G27" s="102"/>
      <c r="H27" s="102"/>
      <c r="I27" s="102"/>
      <c r="K27" s="103" t="s">
        <v>119</v>
      </c>
      <c r="L27" s="103"/>
      <c r="N27" s="103" t="s">
        <v>120</v>
      </c>
      <c r="O27" s="103"/>
      <c r="Q27" s="104" t="s">
        <v>173</v>
      </c>
      <c r="R27" s="104"/>
    </row>
    <row r="28" spans="1:33" x14ac:dyDescent="0.25">
      <c r="A28" s="15"/>
      <c r="B28" s="2"/>
      <c r="C28" s="81" t="s">
        <v>32</v>
      </c>
      <c r="D28" s="81" t="s">
        <v>32</v>
      </c>
      <c r="F28" s="81" t="s">
        <v>33</v>
      </c>
      <c r="G28" s="2"/>
      <c r="H28" s="81" t="s">
        <v>107</v>
      </c>
      <c r="I28" s="81" t="s">
        <v>107</v>
      </c>
      <c r="K28" s="81" t="s">
        <v>107</v>
      </c>
      <c r="L28" s="81" t="s">
        <v>107</v>
      </c>
      <c r="N28" s="81" t="s">
        <v>107</v>
      </c>
      <c r="O28" s="81" t="s">
        <v>107</v>
      </c>
      <c r="Q28" s="81" t="s">
        <v>107</v>
      </c>
      <c r="R28" s="81" t="s">
        <v>107</v>
      </c>
    </row>
    <row r="29" spans="1:33" ht="30.75" thickBot="1" x14ac:dyDescent="0.3">
      <c r="A29" s="15"/>
      <c r="C29" s="99" t="s">
        <v>110</v>
      </c>
      <c r="D29" s="99" t="s">
        <v>111</v>
      </c>
      <c r="F29" s="6" t="s">
        <v>105</v>
      </c>
      <c r="G29" s="6" t="s">
        <v>106</v>
      </c>
      <c r="H29" s="6" t="s">
        <v>108</v>
      </c>
      <c r="I29" s="6" t="s">
        <v>109</v>
      </c>
      <c r="K29" s="6" t="s">
        <v>112</v>
      </c>
      <c r="L29" s="6" t="s">
        <v>113</v>
      </c>
      <c r="N29" s="6" t="s">
        <v>122</v>
      </c>
      <c r="O29" s="6" t="s">
        <v>123</v>
      </c>
      <c r="Q29" s="6" t="s">
        <v>90</v>
      </c>
      <c r="R29" s="6" t="s">
        <v>91</v>
      </c>
    </row>
    <row r="30" spans="1:33" ht="15.75" thickBot="1" x14ac:dyDescent="0.3">
      <c r="A30" s="15"/>
      <c r="B30" t="s">
        <v>20</v>
      </c>
      <c r="C30" s="3">
        <f>'Inputs Volumes &amp; Flows'!F12</f>
        <v>4599480.7206585268</v>
      </c>
      <c r="D30" s="31">
        <v>0</v>
      </c>
      <c r="F30" s="16" cm="1">
        <f t="array" ref="F30">(SUMPRODUCT($C$15:$C$24,Distances!F$4:F$13)+SUMPRODUCT($D$15:$D$24,Distances!F$4:F$13,Distances!F$91:F$100))/(SUMPRODUCT($C$15:$C$24*(Distances!F$4:F$13&lt;&gt;0))+SUMPRODUCT($D$15:$D$24*Distances!F$91:F$100*(Distances!F$4:F$13&lt;&gt;0)))</f>
        <v>203.23015208019183</v>
      </c>
      <c r="G30" s="5" cm="1">
        <f t="array" ref="G30">F30*SUM(C30:D30)/SUMPRODUCT($F$30:$F$54*($C$30:$C$54+$D$30:$D$54))</f>
        <v>5.4219156879207871E-2</v>
      </c>
      <c r="H30" s="19">
        <f>IFERROR(G30*$C$9/(C30+D30*(1-Results!$D$13)),0)</f>
        <v>1.4735129945127015</v>
      </c>
      <c r="I30" s="19">
        <f>IF(D30&gt;0,H30*(1-Results!$D$13),0)</f>
        <v>0</v>
      </c>
      <c r="K30" s="110">
        <f>(SUMPRODUCT(C30:D30,H30:I30)+SUMPRODUCT(C38:D38,H38:I38))/(SUM(C30,C38)+SUM(D30,D38)*(1-Results!$D$13))</f>
        <v>1.1781382251991437</v>
      </c>
      <c r="L30" s="19">
        <f>IF($D30&gt;0,K30*(1-Results!$D$13),0)</f>
        <v>0</v>
      </c>
      <c r="N30" s="19">
        <f t="shared" ref="N30:N36" si="3">K30</f>
        <v>1.1781382251991437</v>
      </c>
      <c r="O30" s="19">
        <f>IF($D30&gt;0,N30*(1-Results!$D$13),0)</f>
        <v>0</v>
      </c>
      <c r="Q30" s="231">
        <f t="shared" ref="Q30:Q54" si="4">ROUND(N30*$D$59,2)</f>
        <v>1.25</v>
      </c>
      <c r="R30" s="231">
        <f t="shared" ref="R30:R54" si="5">ROUND(O30*$D$59,2)</f>
        <v>0</v>
      </c>
    </row>
    <row r="31" spans="1:33" x14ac:dyDescent="0.25">
      <c r="A31" s="15"/>
      <c r="B31" t="s">
        <v>21</v>
      </c>
      <c r="C31" s="3">
        <f>'Inputs Volumes &amp; Flows'!F13</f>
        <v>13795957.000000002</v>
      </c>
      <c r="D31" s="31">
        <v>0</v>
      </c>
      <c r="F31" s="16" cm="1">
        <f t="array" ref="F31">(SUMPRODUCT($C$15:$C$24,Distances!G$4:G$13)+SUMPRODUCT($D$15:$D$24,Distances!G$4:G$13,Distances!G$91:G$100))/(SUMPRODUCT($C$15:$C$24*(Distances!G$4:G$13&lt;&gt;0))+SUMPRODUCT($D$15:$D$24*Distances!G$91:G$100*(Distances!G$4:G$13&lt;&gt;0)))</f>
        <v>292.32372731480154</v>
      </c>
      <c r="G31" s="5" cm="1">
        <f t="array" ref="G31">F31*SUM(C31:D31)/SUMPRODUCT($F$30:$F$54*($C$30:$C$54+$D$30:$D$54))</f>
        <v>0.23392234804012779</v>
      </c>
      <c r="H31" s="19">
        <f>IFERROR(G31*$C$9/(C31+D31*(1-Results!$D$13)),0)</f>
        <v>2.1194827952142767</v>
      </c>
      <c r="I31" s="19">
        <f>IF(D31&gt;0,H31*(1-Results!$D$13),0)</f>
        <v>0</v>
      </c>
      <c r="K31" s="109">
        <f>(SUMPRODUCT(C31:D31,H31:I31)+SUMPRODUCT(C32:D32,H32:I32)+SUMPRODUCT(C37:D37,H37:I37))/(SUM(C31:C32,C37)+SUM(D31:D32,D37)*(1-Results!$D$13))</f>
        <v>2.333212733573526</v>
      </c>
      <c r="L31" s="19">
        <f>IF($D31&gt;0,K31*(1-Results!$D$13),0)</f>
        <v>0</v>
      </c>
      <c r="N31" s="19">
        <f t="shared" si="3"/>
        <v>2.333212733573526</v>
      </c>
      <c r="O31" s="19">
        <f>IF($D31&gt;0,N31*(1-Results!$D$13),0)</f>
        <v>0</v>
      </c>
      <c r="Q31" s="231">
        <f t="shared" si="4"/>
        <v>2.48</v>
      </c>
      <c r="R31" s="231">
        <f t="shared" si="5"/>
        <v>0</v>
      </c>
    </row>
    <row r="32" spans="1:33" ht="15.75" thickBot="1" x14ac:dyDescent="0.3">
      <c r="A32" s="15"/>
      <c r="B32" t="s">
        <v>22</v>
      </c>
      <c r="C32" s="3">
        <f>'Inputs Volumes &amp; Flows'!F14</f>
        <v>324117.03253424657</v>
      </c>
      <c r="D32" s="3">
        <f>'Inputs Volumes &amp; Flows'!F20</f>
        <v>6431372.0000000019</v>
      </c>
      <c r="F32" s="16" cm="1">
        <f t="array" ref="F32">(SUMPRODUCT($C$15:$C$24,Distances!H$4:H$13)+SUMPRODUCT($D$15:$D$24,Distances!H$4:H$13,Distances!H$91:H$100))/(SUMPRODUCT($C$15:$C$24*(Distances!H$4:H$13&lt;&gt;0))+SUMPRODUCT($D$15:$D$24*Distances!H$91:H$100*(Distances!H$4:H$13&lt;&gt;0)))</f>
        <v>351.36533239096326</v>
      </c>
      <c r="G32" s="5" cm="1">
        <f t="array" ref="G32">F32*SUM(C32:D32)/SUMPRODUCT($F$30:$F$54*($C$30:$C$54+$D$30:$D$54))</f>
        <v>0.13768020933573788</v>
      </c>
      <c r="H32" s="19">
        <f>IFERROR(G32*$C$9/(C32+D32*(1-Results!$D$13)),0)</f>
        <v>2.8156144538937267</v>
      </c>
      <c r="I32" s="19">
        <f>IF(D32&gt;0,H32*(1-Results!$D$13),0)</f>
        <v>2.5340530085043542</v>
      </c>
      <c r="K32" s="101">
        <f>(SUMPRODUCT(C31:D31,H31:I31)+SUMPRODUCT(C32:D32,H32:I32)+SUMPRODUCT(C37:D37,H37:I37))/(SUM(C31:C32,C37)+SUM(D31:D32,D37)*(1-Results!$D$13))</f>
        <v>2.333212733573526</v>
      </c>
      <c r="L32" s="19">
        <f>IF($D32&gt;0,K32*(1-Results!$D$13),0)</f>
        <v>2.0998914602161736</v>
      </c>
      <c r="N32" s="19">
        <f t="shared" si="3"/>
        <v>2.333212733573526</v>
      </c>
      <c r="O32" s="19">
        <f>IF($D32&gt;0,N32*(1-Results!$D$13),0)</f>
        <v>2.0998914602161736</v>
      </c>
      <c r="Q32" s="231">
        <f t="shared" si="4"/>
        <v>2.48</v>
      </c>
      <c r="R32" s="231">
        <f t="shared" si="5"/>
        <v>2.23</v>
      </c>
    </row>
    <row r="33" spans="2:18" x14ac:dyDescent="0.25">
      <c r="B33" t="s">
        <v>34</v>
      </c>
      <c r="C33" s="3">
        <f>'Inputs Volumes &amp; Flows'!F15</f>
        <v>6142391.6287736297</v>
      </c>
      <c r="D33" s="31">
        <v>0</v>
      </c>
      <c r="F33" s="16" cm="1">
        <f t="array" ref="F33">(SUMPRODUCT($C$15:$C$24,Distances!I$4:I$13)+SUMPRODUCT($D$15:$D$24,Distances!I$4:I$13,Distances!I$91:I$100))/(SUMPRODUCT($C$15:$C$24*(Distances!I$4:I$13&lt;&gt;0))+SUMPRODUCT($D$15:$D$24*Distances!I$91:I$100*(Distances!I$4:I$13&lt;&gt;0)))</f>
        <v>162.70161945727969</v>
      </c>
      <c r="G33" s="5" cm="1">
        <f t="array" ref="G33">F33*SUM(C33:D33)/SUMPRODUCT($F$30:$F$54*($C$30:$C$54+$D$30:$D$54))</f>
        <v>5.7967583141650882E-2</v>
      </c>
      <c r="H33" s="19">
        <f>IFERROR(G33*$C$9/(C33+D33*(1-Results!$D$13)),0)</f>
        <v>1.1796623091831515</v>
      </c>
      <c r="I33" s="19">
        <f>IF(D33&gt;0,H33*(1-Results!$D$13),0)</f>
        <v>0</v>
      </c>
      <c r="K33" s="19">
        <f t="shared" ref="K33:K36" si="6">H33</f>
        <v>1.1796623091831515</v>
      </c>
      <c r="L33" s="19">
        <f>IF($D33&gt;0,K33*(1-Results!$D$13),0)</f>
        <v>0</v>
      </c>
      <c r="N33" s="19">
        <f t="shared" si="3"/>
        <v>1.1796623091831515</v>
      </c>
      <c r="O33" s="19">
        <f>IF($D33&gt;0,N33*(1-Results!$D$13),0)</f>
        <v>0</v>
      </c>
      <c r="Q33" s="231">
        <f t="shared" si="4"/>
        <v>1.25</v>
      </c>
      <c r="R33" s="231">
        <f t="shared" si="5"/>
        <v>0</v>
      </c>
    </row>
    <row r="34" spans="2:18" x14ac:dyDescent="0.25">
      <c r="B34" t="s">
        <v>30</v>
      </c>
      <c r="C34" s="3">
        <f>'Inputs Volumes &amp; Flows'!F16</f>
        <v>0</v>
      </c>
      <c r="D34" s="31">
        <v>0</v>
      </c>
      <c r="F34" s="16" cm="1">
        <f t="array" ref="F34">(SUMPRODUCT($C$15:$C$24,Distances!J$4:J$13)+SUMPRODUCT($D$15:$D$24,Distances!J$4:J$13,Distances!J$91:J$100))/(SUMPRODUCT($C$15:$C$24*(Distances!J$4:J$13&lt;&gt;0))+SUMPRODUCT($D$15:$D$24*Distances!J$91:J$100*(Distances!J$4:J$13&lt;&gt;0)))</f>
        <v>152.70161945727972</v>
      </c>
      <c r="G34" s="5" cm="1">
        <f t="array" ref="G34">F34*SUM(C34:D34)/SUMPRODUCT($F$30:$F$54*($C$30:$C$54+$D$30:$D$54))</f>
        <v>0</v>
      </c>
      <c r="H34" s="19">
        <f>IFERROR(G34*$C$9/(C34+D34*(1-Results!$D$13)),0)</f>
        <v>0</v>
      </c>
      <c r="I34" s="19">
        <f>IF(D34&gt;0,H34*(1-Results!$D$13),0)</f>
        <v>0</v>
      </c>
      <c r="K34" s="19">
        <f t="shared" si="6"/>
        <v>0</v>
      </c>
      <c r="L34" s="19">
        <f>IF($D34&gt;0,K34*(1-Results!$D$13),0)</f>
        <v>0</v>
      </c>
      <c r="N34" s="19">
        <f t="shared" si="3"/>
        <v>0</v>
      </c>
      <c r="O34" s="19">
        <f>IF($D34&gt;0,N34*(1-Results!$D$13),0)</f>
        <v>0</v>
      </c>
      <c r="Q34" s="231">
        <f t="shared" si="4"/>
        <v>0</v>
      </c>
      <c r="R34" s="231">
        <f t="shared" si="5"/>
        <v>0</v>
      </c>
    </row>
    <row r="35" spans="2:18" x14ac:dyDescent="0.25">
      <c r="B35" t="s">
        <v>29</v>
      </c>
      <c r="C35" s="3">
        <f>'Inputs Volumes &amp; Flows'!F17</f>
        <v>638698.63013698626</v>
      </c>
      <c r="D35" s="31">
        <v>0</v>
      </c>
      <c r="F35" s="16" cm="1">
        <f t="array" ref="F35">(SUMPRODUCT($C$15:$C$24,Distances!K$4:K$13)+SUMPRODUCT($D$15:$D$24,Distances!K$4:K$13,Distances!K$91:K$100))/(SUMPRODUCT($C$15:$C$24*(Distances!K$4:K$13&lt;&gt;0))+SUMPRODUCT($D$15:$D$24*Distances!K$91:K$100*(Distances!K$4:K$13&lt;&gt;0)))</f>
        <v>282.92516661569397</v>
      </c>
      <c r="G35" s="5" cm="1">
        <f t="array" ref="G35">F35*SUM(C35:D35)/SUMPRODUCT($F$30:$F$54*($C$30:$C$54+$D$30:$D$54))</f>
        <v>1.0481498583698829E-2</v>
      </c>
      <c r="H35" s="19">
        <f>IFERROR(G35*$C$9/(C35+D35*(1-Results!$D$13)),0)</f>
        <v>2.0513388649062052</v>
      </c>
      <c r="I35" s="19">
        <f>IF(D35&gt;0,H35*(1-Results!$D$13),0)</f>
        <v>0</v>
      </c>
      <c r="K35" s="19">
        <f t="shared" si="6"/>
        <v>2.0513388649062052</v>
      </c>
      <c r="L35" s="19">
        <f>IF($D35&gt;0,K35*(1-Results!$D$13),0)</f>
        <v>0</v>
      </c>
      <c r="N35" s="19">
        <f t="shared" si="3"/>
        <v>2.0513388649062052</v>
      </c>
      <c r="O35" s="19">
        <f>IF($D35&gt;0,N35*(1-Results!$D$13),0)</f>
        <v>0</v>
      </c>
      <c r="Q35" s="231">
        <f t="shared" si="4"/>
        <v>2.1800000000000002</v>
      </c>
      <c r="R35" s="231">
        <f t="shared" si="5"/>
        <v>0</v>
      </c>
    </row>
    <row r="36" spans="2:18" ht="15.75" thickBot="1" x14ac:dyDescent="0.3">
      <c r="B36" s="12" t="s">
        <v>18</v>
      </c>
      <c r="C36" s="80">
        <f>'Inputs Volumes &amp; Flows'!F29</f>
        <v>6683747</v>
      </c>
      <c r="D36" s="93">
        <v>0</v>
      </c>
      <c r="F36" s="16" cm="1">
        <f t="array" ref="F36">(SUMPRODUCT($C$15:$C$24,Distances!L$4:L$13)+SUMPRODUCT($D$15:$D$24,Distances!L$4:L$13,Distances!L$91:L$100))/(SUMPRODUCT($C$15:$C$24*(Distances!L$4:L$13&lt;&gt;0))+SUMPRODUCT($D$15:$D$24*Distances!L$91:L$100*(Distances!L$4:L$13&lt;&gt;0)))</f>
        <v>451.26006365247525</v>
      </c>
      <c r="G36" s="5" cm="1">
        <f t="array" ref="G36">F36*SUM(C36:D36)/SUMPRODUCT($F$30:$F$54*($C$30:$C$54+$D$30:$D$54))</f>
        <v>0.17494547645766542</v>
      </c>
      <c r="H36" s="19">
        <f>IFERROR(G36*$C$9/(C36+D36*(1-Results!$D$13)),0)</f>
        <v>3.2718450529632821</v>
      </c>
      <c r="I36" s="19">
        <f>IF(D36&gt;0,H36*(1-Results!$D$13),0)</f>
        <v>0</v>
      </c>
      <c r="K36" s="19">
        <f t="shared" si="6"/>
        <v>3.2718450529632821</v>
      </c>
      <c r="L36" s="19">
        <f>IF($D36&gt;0,K36*(1-Results!$D$13),0)</f>
        <v>0</v>
      </c>
      <c r="N36" s="19">
        <f t="shared" si="3"/>
        <v>3.2718450529632821</v>
      </c>
      <c r="O36" s="19">
        <f>IF($D36&gt;0,N36*(1-Results!$D$13),0)</f>
        <v>0</v>
      </c>
      <c r="Q36" s="231">
        <f t="shared" si="4"/>
        <v>3.47</v>
      </c>
      <c r="R36" s="231">
        <f t="shared" si="5"/>
        <v>0</v>
      </c>
    </row>
    <row r="37" spans="2:18" ht="15.75" thickBot="1" x14ac:dyDescent="0.3">
      <c r="B37" t="s">
        <v>196</v>
      </c>
      <c r="C37" s="3">
        <f>'Inputs Volumes &amp; Flows'!F25</f>
        <v>0</v>
      </c>
      <c r="D37" s="31">
        <v>0</v>
      </c>
      <c r="F37" s="16" cm="1">
        <f t="array" ref="F37">(SUMPRODUCT($C$15:$C$24,Distances!M$4:M$13)+SUMPRODUCT($D$15:$D$24,Distances!M$4:M$13,Distances!M$91:M$100))/(SUMPRODUCT($C$15:$C$24*(Distances!M$4:M$13&lt;&gt;0))+SUMPRODUCT($D$15:$D$24*Distances!M$91:M$100*(Distances!M$4:M$13&lt;&gt;0)))</f>
        <v>335.71097422600491</v>
      </c>
      <c r="G37" s="5" cm="1">
        <f t="array" ref="G37">F37*SUM(C37:D37)/SUMPRODUCT($F$30:$F$54*($C$30:$C$54+$D$30:$D$54))</f>
        <v>0</v>
      </c>
      <c r="H37" s="19">
        <f>IFERROR(G37*$C$9/(C37+D37*(1-Results!$D$13)),0)</f>
        <v>0</v>
      </c>
      <c r="I37" s="19">
        <f>IF(D37&gt;0,H37*(1-Results!$D$13),0)</f>
        <v>0</v>
      </c>
      <c r="K37" s="100">
        <f>(SUMPRODUCT(C31:D31,H31:I31)+SUMPRODUCT(C32:D32,H32:I32)+SUMPRODUCT(C37:D37,H37:I37))/(SUM(C31:C32,C37)+SUM(D31:D32,D37)*(1-Results!$D$13))</f>
        <v>2.333212733573526</v>
      </c>
      <c r="L37" s="19">
        <f>IF($D37&gt;0,K37*(1-Results!$D$13),0)</f>
        <v>0</v>
      </c>
      <c r="N37" s="107">
        <f>K37*(1-Results!$D$15)</f>
        <v>2.333212733573526</v>
      </c>
      <c r="O37" s="19">
        <f>IF($D37&gt;0,N37*(1-Results!$D$13),0)</f>
        <v>0</v>
      </c>
      <c r="Q37" s="231">
        <f t="shared" si="4"/>
        <v>2.48</v>
      </c>
      <c r="R37" s="231">
        <f t="shared" si="5"/>
        <v>0</v>
      </c>
    </row>
    <row r="38" spans="2:18" ht="15.75" thickBot="1" x14ac:dyDescent="0.3">
      <c r="B38" s="12" t="s">
        <v>23</v>
      </c>
      <c r="C38" s="80">
        <f>'Inputs Volumes &amp; Flows'!F26</f>
        <v>7574726.750383094</v>
      </c>
      <c r="D38" s="93">
        <v>0</v>
      </c>
      <c r="F38" s="16" cm="1">
        <f t="array" ref="F38">(SUMPRODUCT($C$15:$C$24,Distances!N$4:N$13)+SUMPRODUCT($D$15:$D$24,Distances!N$4:N$13,Distances!N$91:N$100))/(SUMPRODUCT($C$15:$C$24*(Distances!N$4:N$13&lt;&gt;0))+SUMPRODUCT($D$15:$D$24*Distances!N$91:N$100*(Distances!N$4:N$13&lt;&gt;0)))</f>
        <v>137.75427942554194</v>
      </c>
      <c r="G38" s="5" cm="1">
        <f t="array" ref="G38">F38*SUM(C38:D38)/SUMPRODUCT($F$30:$F$54*($C$30:$C$54+$D$30:$D$54))</f>
        <v>6.0524036585905182E-2</v>
      </c>
      <c r="H38" s="19">
        <f>IFERROR(G38*$C$9/(C38+D38*(1-Results!$D$13)),0)</f>
        <v>0.99878250695386728</v>
      </c>
      <c r="I38" s="19">
        <f>IF(D38&gt;0,H38*(1-Results!$D$13),0)</f>
        <v>0</v>
      </c>
      <c r="K38" s="110">
        <f>(SUMPRODUCT(C30:D30,H30:I30)+SUMPRODUCT(C38:D38,H38:I38))/(SUM(C30,C38)+SUM(D30,D38)*(1-Results!$D$13))</f>
        <v>1.1781382251991437</v>
      </c>
      <c r="L38" s="19">
        <f>IF($D38&gt;0,K38*(1-Results!$D$13),0)</f>
        <v>0</v>
      </c>
      <c r="N38" s="108">
        <f>K38*(1-Results!$D$15)</f>
        <v>1.1781382251991437</v>
      </c>
      <c r="O38" s="19">
        <f>IF($D38&gt;0,N38*(1-Results!$D$13),0)</f>
        <v>0</v>
      </c>
      <c r="Q38" s="231">
        <f t="shared" si="4"/>
        <v>1.25</v>
      </c>
      <c r="R38" s="231">
        <f t="shared" si="5"/>
        <v>0</v>
      </c>
    </row>
    <row r="39" spans="2:18" x14ac:dyDescent="0.25">
      <c r="B39" t="s">
        <v>35</v>
      </c>
      <c r="C39" s="3">
        <f>'Inputs Volumes &amp; Flows'!F33</f>
        <v>0</v>
      </c>
      <c r="D39" s="3">
        <f>'Inputs Volumes &amp; Flows'!F34</f>
        <v>4635629</v>
      </c>
      <c r="F39" s="16" cm="1">
        <f t="array" ref="F39">(SUMPRODUCT($C$15:$C$24,Distances!O$4:O$13)+SUMPRODUCT($D$15:$D$24,Distances!O$4:O$13,Distances!O$91:O$100))/(SUMPRODUCT($C$15:$C$24*(Distances!O$4:O$13&lt;&gt;0))+SUMPRODUCT($D$15:$D$24*Distances!O$91:O$100*(Distances!O$4:O$13&lt;&gt;0)))</f>
        <v>136.11084343316659</v>
      </c>
      <c r="G39" s="5" cm="1">
        <f t="array" ref="G39">F39*SUM(C39:D39)/SUMPRODUCT($F$30:$F$54*($C$30:$C$54+$D$30:$D$54))</f>
        <v>3.6597988070479558E-2</v>
      </c>
      <c r="H39" s="19">
        <f>IFERROR(G39*$C$9/(C39+D39*(1-Results!$D$13)),0)</f>
        <v>1.09651870300184</v>
      </c>
      <c r="I39" s="19">
        <f>IF(D39&gt;0,H39*(1-Results!$D$13),0)</f>
        <v>0.98686683270165598</v>
      </c>
      <c r="K39" s="111">
        <f>SUMPRODUCT(C39:D50,H39:I50)/(SUM(C39:C50)+SUM(D39:D50)*(1-Results!$D$13))</f>
        <v>1.0410809232044618</v>
      </c>
      <c r="L39" s="19">
        <f>IF($D39&gt;0,K39*(1-Results!$D$13),0)</f>
        <v>0.93697283088401562</v>
      </c>
      <c r="N39" s="19">
        <f t="shared" ref="N39:N54" si="7">K39</f>
        <v>1.0410809232044618</v>
      </c>
      <c r="O39" s="19">
        <f>IF($D39&gt;0,N39*(1-Results!$D$13),0)</f>
        <v>0.93697283088401562</v>
      </c>
      <c r="Q39" s="231">
        <f t="shared" si="4"/>
        <v>1.1100000000000001</v>
      </c>
      <c r="R39" s="231">
        <f t="shared" si="5"/>
        <v>0.99</v>
      </c>
    </row>
    <row r="40" spans="2:18" x14ac:dyDescent="0.25">
      <c r="B40" t="s">
        <v>36</v>
      </c>
      <c r="C40" s="3">
        <f>'Inputs Volumes &amp; Flows'!F35</f>
        <v>0</v>
      </c>
      <c r="D40" s="31">
        <v>0</v>
      </c>
      <c r="F40" s="16" cm="1">
        <f t="array" ref="F40">(SUMPRODUCT($C$15:$C$24,Distances!P$4:P$13)+SUMPRODUCT($D$15:$D$24,Distances!P$4:P$13,Distances!P$91:P$100))/(SUMPRODUCT($C$15:$C$24*(Distances!P$4:P$13&lt;&gt;0))+SUMPRODUCT($D$15:$D$24*Distances!P$91:P$100*(Distances!P$4:P$13&lt;&gt;0)))</f>
        <v>157.65929908418275</v>
      </c>
      <c r="G40" s="5" cm="1">
        <f t="array" ref="G40">F40*SUM(C40:D40)/SUMPRODUCT($F$30:$F$54*($C$30:$C$54+$D$30:$D$54))</f>
        <v>0</v>
      </c>
      <c r="H40" s="19">
        <f>IFERROR(G40*$C$9/(C40+D40*(1-Results!$D$13)),0)</f>
        <v>0</v>
      </c>
      <c r="I40" s="19">
        <f>IF(D40&gt;0,H40*(1-Results!$D$13),0)</f>
        <v>0</v>
      </c>
      <c r="K40" s="112">
        <f>SUMPRODUCT(C39:D50,H39:I50)/(SUM(C39:C50)+SUM(D39:D50)*(1-Results!$D$13))</f>
        <v>1.0410809232044618</v>
      </c>
      <c r="L40" s="19">
        <f>IF($D40&gt;0,K40*(1-Results!$D$13),0)</f>
        <v>0</v>
      </c>
      <c r="N40" s="19">
        <f t="shared" si="7"/>
        <v>1.0410809232044618</v>
      </c>
      <c r="O40" s="19">
        <f>IF($D40&gt;0,N40*(1-Results!$D$13),0)</f>
        <v>0</v>
      </c>
      <c r="Q40" s="231">
        <f t="shared" si="4"/>
        <v>1.1100000000000001</v>
      </c>
      <c r="R40" s="231">
        <f t="shared" si="5"/>
        <v>0</v>
      </c>
    </row>
    <row r="41" spans="2:18" x14ac:dyDescent="0.25">
      <c r="B41" t="s">
        <v>37</v>
      </c>
      <c r="C41" s="3">
        <f>'Inputs Volumes &amp; Flows'!F36</f>
        <v>0</v>
      </c>
      <c r="D41" s="31">
        <v>0</v>
      </c>
      <c r="F41" s="16" cm="1">
        <f t="array" ref="F41">(SUMPRODUCT($C$15:$C$24,Distances!Q$4:Q$13)+SUMPRODUCT($D$15:$D$24,Distances!Q$4:Q$13,Distances!Q$91:Q$100))/(SUMPRODUCT($C$15:$C$24*(Distances!Q$4:Q$13&lt;&gt;0))+SUMPRODUCT($D$15:$D$24*Distances!Q$91:Q$100*(Distances!Q$4:Q$13&lt;&gt;0)))</f>
        <v>188.77907947510781</v>
      </c>
      <c r="G41" s="5" cm="1">
        <f t="array" ref="G41">F41*SUM(C41:D41)/SUMPRODUCT($F$30:$F$54*($C$30:$C$54+$D$30:$D$54))</f>
        <v>0</v>
      </c>
      <c r="H41" s="19">
        <f>IFERROR(G41*$C$9/(C41+D41*(1-Results!$D$13)),0)</f>
        <v>0</v>
      </c>
      <c r="I41" s="19">
        <f>IF(D41&gt;0,H41*(1-Results!$D$13),0)</f>
        <v>0</v>
      </c>
      <c r="K41" s="112">
        <f>SUMPRODUCT(C39:D50,H39:I50)/(SUM(C39:C50)+SUM(D39:D50)*(1-Results!$D$13))</f>
        <v>1.0410809232044618</v>
      </c>
      <c r="L41" s="19">
        <f>IF($D41&gt;0,K41*(1-Results!$D$13),0)</f>
        <v>0</v>
      </c>
      <c r="N41" s="19">
        <f t="shared" si="7"/>
        <v>1.0410809232044618</v>
      </c>
      <c r="O41" s="19">
        <f>IF($D41&gt;0,N41*(1-Results!$D$13),0)</f>
        <v>0</v>
      </c>
      <c r="Q41" s="231">
        <f t="shared" si="4"/>
        <v>1.1100000000000001</v>
      </c>
      <c r="R41" s="231">
        <f t="shared" si="5"/>
        <v>0</v>
      </c>
    </row>
    <row r="42" spans="2:18" x14ac:dyDescent="0.25">
      <c r="B42" t="s">
        <v>38</v>
      </c>
      <c r="C42" s="3">
        <f>'Inputs Volumes &amp; Flows'!F37</f>
        <v>0</v>
      </c>
      <c r="D42" s="31">
        <v>0</v>
      </c>
      <c r="F42" s="16" cm="1">
        <f t="array" ref="F42">(SUMPRODUCT($C$15:$C$24,Distances!R$4:R$13)+SUMPRODUCT($D$15:$D$24,Distances!R$4:R$13,Distances!R$91:R$100))/(SUMPRODUCT($C$15:$C$24*(Distances!R$4:R$13&lt;&gt;0))+SUMPRODUCT($D$15:$D$24*Distances!R$91:R$100*(Distances!R$4:R$13&lt;&gt;0)))</f>
        <v>218.20141729925518</v>
      </c>
      <c r="G42" s="5" cm="1">
        <f t="array" ref="G42">F42*SUM(C42:D42)/SUMPRODUCT($F$30:$F$54*($C$30:$C$54+$D$30:$D$54))</f>
        <v>0</v>
      </c>
      <c r="H42" s="19">
        <f>IFERROR(G42*$C$9/(C42+D42*(1-Results!$D$13)),0)</f>
        <v>0</v>
      </c>
      <c r="I42" s="19">
        <f>IF(D42&gt;0,H42*(1-Results!$D$13),0)</f>
        <v>0</v>
      </c>
      <c r="K42" s="112">
        <f>SUMPRODUCT(C39:D50,H39:I50)/(SUM(C39:C50)+SUM(D39:D50)*(1-Results!$D$13))</f>
        <v>1.0410809232044618</v>
      </c>
      <c r="L42" s="19">
        <f>IF($D42&gt;0,K42*(1-Results!$D$13),0)</f>
        <v>0</v>
      </c>
      <c r="N42" s="19">
        <f t="shared" si="7"/>
        <v>1.0410809232044618</v>
      </c>
      <c r="O42" s="19">
        <f>IF($D42&gt;0,N42*(1-Results!$D$13),0)</f>
        <v>0</v>
      </c>
      <c r="Q42" s="231">
        <f t="shared" si="4"/>
        <v>1.1100000000000001</v>
      </c>
      <c r="R42" s="231">
        <f t="shared" si="5"/>
        <v>0</v>
      </c>
    </row>
    <row r="43" spans="2:18" x14ac:dyDescent="0.25">
      <c r="B43" t="s">
        <v>39</v>
      </c>
      <c r="C43" s="3">
        <f>'Inputs Volumes &amp; Flows'!F38</f>
        <v>0</v>
      </c>
      <c r="D43" s="3">
        <f>'Inputs Volumes &amp; Flows'!F39</f>
        <v>2378663</v>
      </c>
      <c r="F43" s="16" cm="1">
        <f t="array" ref="F43">(SUMPRODUCT($C$15:$C$24,Distances!S$4:S$13)+SUMPRODUCT($D$15:$D$24,Distances!S$4:S$13,Distances!S$91:S$100))/(SUMPRODUCT($C$15:$C$24*(Distances!S$4:S$13&lt;&gt;0))+SUMPRODUCT($D$15:$D$24*Distances!S$91:S$100*(Distances!S$4:S$13&lt;&gt;0)))</f>
        <v>227.82025851099564</v>
      </c>
      <c r="G43" s="5" cm="1">
        <f t="array" ref="G43">F43*SUM(C43:D43)/SUMPRODUCT($F$30:$F$54*($C$30:$C$54+$D$30:$D$54))</f>
        <v>3.143265548303311E-2</v>
      </c>
      <c r="H43" s="19">
        <f>IFERROR(G43*$C$9/(C43+D43*(1-Results!$D$13)),0)</f>
        <v>1.8353363191278922</v>
      </c>
      <c r="I43" s="19">
        <f>IF(D43&gt;0,H43*(1-Results!$D$13),0)</f>
        <v>1.651802687215103</v>
      </c>
      <c r="K43" s="112">
        <f>SUMPRODUCT(C39:D50,H39:I50)/(SUM(C39:C50)+SUM(D39:D50)*(1-Results!$D$13))</f>
        <v>1.0410809232044618</v>
      </c>
      <c r="L43" s="19">
        <f>IF($D43&gt;0,K43*(1-Results!$D$13),0)</f>
        <v>0.93697283088401562</v>
      </c>
      <c r="N43" s="19">
        <f t="shared" si="7"/>
        <v>1.0410809232044618</v>
      </c>
      <c r="O43" s="19">
        <f>IF($D43&gt;0,N43*(1-Results!$D$13),0)</f>
        <v>0.93697283088401562</v>
      </c>
      <c r="Q43" s="231">
        <f t="shared" si="4"/>
        <v>1.1100000000000001</v>
      </c>
      <c r="R43" s="231">
        <f t="shared" si="5"/>
        <v>0.99</v>
      </c>
    </row>
    <row r="44" spans="2:18" x14ac:dyDescent="0.25">
      <c r="B44" t="s">
        <v>40</v>
      </c>
      <c r="C44" s="3">
        <f>'Inputs Volumes &amp; Flows'!F40</f>
        <v>0</v>
      </c>
      <c r="D44" s="31">
        <v>0</v>
      </c>
      <c r="F44" s="16" cm="1">
        <f t="array" ref="F44">(SUMPRODUCT($C$15:$C$24,Distances!T$4:T$13)+SUMPRODUCT($D$15:$D$24,Distances!T$4:T$13,Distances!T$91:T$100))/(SUMPRODUCT($C$15:$C$24*(Distances!T$4:T$13&lt;&gt;0))+SUMPRODUCT($D$15:$D$24*Distances!T$91:T$100*(Distances!T$4:T$13&lt;&gt;0)))</f>
        <v>239.13654228951387</v>
      </c>
      <c r="G44" s="5" cm="1">
        <f t="array" ref="G44">F44*SUM(C44:D44)/SUMPRODUCT($F$30:$F$54*($C$30:$C$54+$D$30:$D$54))</f>
        <v>0</v>
      </c>
      <c r="H44" s="19">
        <f>IFERROR(G44*$C$9/(C44+D44*(1-Results!$D$13)),0)</f>
        <v>0</v>
      </c>
      <c r="I44" s="19">
        <f>IF(D44&gt;0,H44*(1-Results!$D$13),0)</f>
        <v>0</v>
      </c>
      <c r="K44" s="112">
        <f>SUMPRODUCT(C39:D50,H39:I50)/(SUM(C39:C50)+SUM(D39:D50)*(1-Results!$D$13))</f>
        <v>1.0410809232044618</v>
      </c>
      <c r="L44" s="19">
        <f>IF($D44&gt;0,K44*(1-Results!$D$13),0)</f>
        <v>0</v>
      </c>
      <c r="N44" s="19">
        <f t="shared" si="7"/>
        <v>1.0410809232044618</v>
      </c>
      <c r="O44" s="19">
        <f>IF($D44&gt;0,N44*(1-Results!$D$13),0)</f>
        <v>0</v>
      </c>
      <c r="Q44" s="231">
        <f t="shared" si="4"/>
        <v>1.1100000000000001</v>
      </c>
      <c r="R44" s="231">
        <f t="shared" si="5"/>
        <v>0</v>
      </c>
    </row>
    <row r="45" spans="2:18" x14ac:dyDescent="0.25">
      <c r="B45" s="12" t="s">
        <v>41</v>
      </c>
      <c r="C45" s="80">
        <f>'Inputs Volumes &amp; Flows'!F41</f>
        <v>21422795</v>
      </c>
      <c r="D45" s="93">
        <v>0</v>
      </c>
      <c r="F45" s="16" cm="1">
        <f t="array" ref="F45">(SUMPRODUCT($C$15:$C$24,Distances!U$4:U$13)+SUMPRODUCT($D$15:$D$24,Distances!U$4:U$13,Distances!U$91:U$100))/(SUMPRODUCT($C$15:$C$24*(Distances!U$4:U$13&lt;&gt;0))+SUMPRODUCT($D$15:$D$24*Distances!U$91:U$100*(Distances!U$4:U$13&lt;&gt;0)))</f>
        <v>116.72660201348712</v>
      </c>
      <c r="G45" s="5" cm="1">
        <f t="array" ref="G45">F45*SUM(C45:D45)/SUMPRODUCT($F$30:$F$54*($C$30:$C$54+$D$30:$D$54))</f>
        <v>0.14504467525976605</v>
      </c>
      <c r="H45" s="19">
        <f>IFERROR(G45*$C$9/(C45+D45*(1-Results!$D$13)),0)</f>
        <v>0.84632207923712832</v>
      </c>
      <c r="I45" s="19">
        <f>IF(D45&gt;0,H45*(1-Results!$D$13),0)</f>
        <v>0</v>
      </c>
      <c r="K45" s="112">
        <f>SUMPRODUCT(C39:D50,H39:I50)/(SUM(C39:C50)+SUM(D39:D50)*(1-Results!$D$13))</f>
        <v>1.0410809232044618</v>
      </c>
      <c r="L45" s="19">
        <f>IF($D45&gt;0,K45*(1-Results!$D$13),0)</f>
        <v>0</v>
      </c>
      <c r="N45" s="19">
        <f t="shared" si="7"/>
        <v>1.0410809232044618</v>
      </c>
      <c r="O45" s="19">
        <f>IF($D45&gt;0,N45*(1-Results!$D$13),0)</f>
        <v>0</v>
      </c>
      <c r="Q45" s="231">
        <f t="shared" si="4"/>
        <v>1.1100000000000001</v>
      </c>
      <c r="R45" s="231">
        <f t="shared" si="5"/>
        <v>0</v>
      </c>
    </row>
    <row r="46" spans="2:18" x14ac:dyDescent="0.25">
      <c r="B46" t="s">
        <v>42</v>
      </c>
      <c r="C46" s="3">
        <f>'Inputs Volumes &amp; Flows'!F42</f>
        <v>1111502.9999999988</v>
      </c>
      <c r="D46" s="31">
        <v>0</v>
      </c>
      <c r="F46" s="16" cm="1">
        <f t="array" ref="F46">(SUMPRODUCT($C$15:$C$24,Distances!V$4:V$13)+SUMPRODUCT($D$15:$D$24,Distances!V$4:V$13,Distances!V$91:V$100))/(SUMPRODUCT($C$15:$C$24*(Distances!V$4:V$13&lt;&gt;0))+SUMPRODUCT($D$15:$D$24*Distances!V$91:V$100*(Distances!V$4:V$13&lt;&gt;0)))</f>
        <v>166.88142133567203</v>
      </c>
      <c r="G46" s="5" cm="1">
        <f t="array" ref="G46">F46*SUM(C46:D46)/SUMPRODUCT($F$30:$F$54*($C$30:$C$54+$D$30:$D$54))</f>
        <v>1.0759062842606457E-2</v>
      </c>
      <c r="H46" s="19">
        <f>IFERROR(G46*$C$9/(C46+D46*(1-Results!$D$13)),0)</f>
        <v>1.2099678141451786</v>
      </c>
      <c r="I46" s="19">
        <f>IF(D46&gt;0,H46*(1-Results!$D$13),0)</f>
        <v>0</v>
      </c>
      <c r="K46" s="112">
        <f>SUMPRODUCT(C39:D50,H39:I50)/(SUM(C39:C50)+SUM(D39:D50)*(1-Results!$D$13))</f>
        <v>1.0410809232044618</v>
      </c>
      <c r="L46" s="19">
        <f>IF($D46&gt;0,K46*(1-Results!$D$13),0)</f>
        <v>0</v>
      </c>
      <c r="N46" s="19">
        <f t="shared" si="7"/>
        <v>1.0410809232044618</v>
      </c>
      <c r="O46" s="19">
        <f>IF($D46&gt;0,N46*(1-Results!$D$13),0)</f>
        <v>0</v>
      </c>
      <c r="Q46" s="231">
        <f t="shared" si="4"/>
        <v>1.1100000000000001</v>
      </c>
      <c r="R46" s="231">
        <f t="shared" si="5"/>
        <v>0</v>
      </c>
    </row>
    <row r="47" spans="2:18" x14ac:dyDescent="0.25">
      <c r="B47" t="s">
        <v>43</v>
      </c>
      <c r="C47" s="3">
        <f>'Inputs Volumes &amp; Flows'!F43</f>
        <v>166730.99999999983</v>
      </c>
      <c r="D47" s="31">
        <v>0</v>
      </c>
      <c r="F47" s="16" cm="1">
        <f t="array" ref="F47">(SUMPRODUCT($C$15:$C$24,Distances!W$4:W$13)+SUMPRODUCT($D$15:$D$24,Distances!W$4:W$13,Distances!W$91:W$100))/(SUMPRODUCT($C$15:$C$24*(Distances!W$4:W$13&lt;&gt;0))+SUMPRODUCT($D$15:$D$24*Distances!W$91:W$100*(Distances!W$4:W$13&lt;&gt;0)))</f>
        <v>212.72711184229243</v>
      </c>
      <c r="G47" s="5" cm="1">
        <f t="array" ref="G47">F47*SUM(C47:D47)/SUMPRODUCT($F$30:$F$54*($C$30:$C$54+$D$30:$D$54))</f>
        <v>2.0572876249201765E-3</v>
      </c>
      <c r="H47" s="19">
        <f>IFERROR(G47*$C$9/(C47+D47*(1-Results!$D$13)),0)</f>
        <v>1.5423703637297344</v>
      </c>
      <c r="I47" s="19">
        <f>IF(D47&gt;0,H47*(1-Results!$D$13),0)</f>
        <v>0</v>
      </c>
      <c r="K47" s="112">
        <f>SUMPRODUCT(C39:D50,H39:I50)/(SUM(C39:C50)+SUM(D39:D50)*(1-Results!$D$13))</f>
        <v>1.0410809232044618</v>
      </c>
      <c r="L47" s="19">
        <f>IF($D47&gt;0,K47*(1-Results!$D$13),0)</f>
        <v>0</v>
      </c>
      <c r="N47" s="19">
        <f t="shared" si="7"/>
        <v>1.0410809232044618</v>
      </c>
      <c r="O47" s="19">
        <f>IF($D47&gt;0,N47*(1-Results!$D$13),0)</f>
        <v>0</v>
      </c>
      <c r="Q47" s="231">
        <f t="shared" si="4"/>
        <v>1.1100000000000001</v>
      </c>
      <c r="R47" s="231">
        <f t="shared" si="5"/>
        <v>0</v>
      </c>
    </row>
    <row r="48" spans="2:18" x14ac:dyDescent="0.25">
      <c r="B48" t="s">
        <v>44</v>
      </c>
      <c r="C48" s="3">
        <f>'Inputs Volumes &amp; Flows'!F44</f>
        <v>221438.99999999977</v>
      </c>
      <c r="D48" s="31">
        <v>0</v>
      </c>
      <c r="F48" s="16" cm="1">
        <f t="array" ref="F48">(SUMPRODUCT($C$15:$C$24,Distances!X$4:X$13)+SUMPRODUCT($D$15:$D$24,Distances!X$4:X$13,Distances!X$91:X$100))/(SUMPRODUCT($C$15:$C$24*(Distances!X$4:X$13&lt;&gt;0))+SUMPRODUCT($D$15:$D$24*Distances!X$91:X$100*(Distances!X$4:X$13&lt;&gt;0)))</f>
        <v>242.57945010704753</v>
      </c>
      <c r="G48" s="5" cm="1">
        <f t="array" ref="G48">F48*SUM(C48:D48)/SUMPRODUCT($F$30:$F$54*($C$30:$C$54+$D$30:$D$54))</f>
        <v>3.1157595422146591E-3</v>
      </c>
      <c r="H48" s="19">
        <f>IFERROR(G48*$C$9/(C48+D48*(1-Results!$D$13)),0)</f>
        <v>1.7588136813155442</v>
      </c>
      <c r="I48" s="19">
        <f>IF(D48&gt;0,H48*(1-Results!$D$13),0)</f>
        <v>0</v>
      </c>
      <c r="K48" s="112">
        <f>SUMPRODUCT(C39:D50,H39:I50)/(SUM(C39:C50)+SUM(D39:D50)*(1-Results!$D$13))</f>
        <v>1.0410809232044618</v>
      </c>
      <c r="L48" s="19">
        <f>IF($D48&gt;0,K48*(1-Results!$D$13),0)</f>
        <v>0</v>
      </c>
      <c r="N48" s="19">
        <f t="shared" si="7"/>
        <v>1.0410809232044618</v>
      </c>
      <c r="O48" s="19">
        <f>IF($D48&gt;0,N48*(1-Results!$D$13),0)</f>
        <v>0</v>
      </c>
      <c r="Q48" s="231">
        <f t="shared" si="4"/>
        <v>1.1100000000000001</v>
      </c>
      <c r="R48" s="231">
        <f t="shared" si="5"/>
        <v>0</v>
      </c>
    </row>
    <row r="49" spans="1:33" x14ac:dyDescent="0.25">
      <c r="B49" t="s">
        <v>45</v>
      </c>
      <c r="C49" s="3">
        <f>'Inputs Volumes &amp; Flows'!F45</f>
        <v>1952542.9999999979</v>
      </c>
      <c r="D49" s="31">
        <v>0</v>
      </c>
      <c r="F49" s="16" cm="1">
        <f t="array" ref="F49">(SUMPRODUCT($C$15:$C$24,Distances!Y$4:Y$13)+SUMPRODUCT($D$15:$D$24,Distances!Y$4:Y$13,Distances!Y$91:Y$100))/(SUMPRODUCT($C$15:$C$24*(Distances!Y$4:Y$13&lt;&gt;0))+SUMPRODUCT($D$15:$D$24*Distances!Y$91:Y$100*(Distances!Y$4:Y$13&lt;&gt;0)))</f>
        <v>263.85137077258128</v>
      </c>
      <c r="G49" s="5" cm="1">
        <f t="array" ref="G49">F49*SUM(C49:D49)/SUMPRODUCT($F$30:$F$54*($C$30:$C$54+$D$30:$D$54))</f>
        <v>2.9882420769745059E-2</v>
      </c>
      <c r="H49" s="19">
        <f>IFERROR(G49*$C$9/(C49+D49*(1-Results!$D$13)),0)</f>
        <v>1.9130449860608123</v>
      </c>
      <c r="I49" s="19">
        <f>IF(D49&gt;0,H49*(1-Results!$D$13),0)</f>
        <v>0</v>
      </c>
      <c r="K49" s="112">
        <f>SUMPRODUCT(C39:D50,H39:I50)/(SUM(C39:C50)+SUM(D39:D50)*(1-Results!$D$13))</f>
        <v>1.0410809232044618</v>
      </c>
      <c r="L49" s="19">
        <f>IF($D49&gt;0,K49*(1-Results!$D$13),0)</f>
        <v>0</v>
      </c>
      <c r="N49" s="19">
        <f t="shared" si="7"/>
        <v>1.0410809232044618</v>
      </c>
      <c r="O49" s="19">
        <f>IF($D49&gt;0,N49*(1-Results!$D$13),0)</f>
        <v>0</v>
      </c>
      <c r="Q49" s="231">
        <f t="shared" si="4"/>
        <v>1.1100000000000001</v>
      </c>
      <c r="R49" s="231">
        <f t="shared" si="5"/>
        <v>0</v>
      </c>
    </row>
    <row r="50" spans="1:33" ht="15.75" thickBot="1" x14ac:dyDescent="0.3">
      <c r="B50" s="12" t="s">
        <v>46</v>
      </c>
      <c r="C50" s="80">
        <f>'Inputs Volumes &amp; Flows'!F46</f>
        <v>110455.99999999988</v>
      </c>
      <c r="D50" s="93">
        <v>0</v>
      </c>
      <c r="F50" s="16" cm="1">
        <f t="array" ref="F50">(SUMPRODUCT($C$15:$C$24,Distances!Z$4:Z$13)+SUMPRODUCT($D$15:$D$24,Distances!Z$4:Z$13,Distances!Z$91:Z$100))/(SUMPRODUCT($C$15:$C$24*(Distances!Z$4:Z$13&lt;&gt;0))+SUMPRODUCT($D$15:$D$24*Distances!Z$91:Z$100*(Distances!Z$4:Z$13&lt;&gt;0)))</f>
        <v>278.28039181530215</v>
      </c>
      <c r="G50" s="5" cm="1">
        <f t="array" ref="G50">F50*SUM(C50:D50)/SUMPRODUCT($F$30:$F$54*($C$30:$C$54+$D$30:$D$54))</f>
        <v>1.7829030707686602E-3</v>
      </c>
      <c r="H50" s="19">
        <f>IFERROR(G50*$C$9/(C50+D50*(1-Results!$D$13)),0)</f>
        <v>2.0176620902991487</v>
      </c>
      <c r="I50" s="19">
        <f>IF(D50&gt;0,H50*(1-Results!$D$13),0)</f>
        <v>0</v>
      </c>
      <c r="K50" s="113">
        <f>SUMPRODUCT(C39:D50,H39:I50)/(SUM(C39:C50)+SUM(D39:D50)*(1-Results!$D$13))</f>
        <v>1.0410809232044618</v>
      </c>
      <c r="L50" s="19">
        <f>IF($D50&gt;0,K50*(1-Results!$D$13),0)</f>
        <v>0</v>
      </c>
      <c r="N50" s="19">
        <f t="shared" si="7"/>
        <v>1.0410809232044618</v>
      </c>
      <c r="O50" s="19">
        <f>IF($D50&gt;0,N50*(1-Results!$D$13),0)</f>
        <v>0</v>
      </c>
      <c r="Q50" s="231">
        <f t="shared" si="4"/>
        <v>1.1100000000000001</v>
      </c>
      <c r="R50" s="231">
        <f t="shared" si="5"/>
        <v>0</v>
      </c>
    </row>
    <row r="51" spans="1:33" x14ac:dyDescent="0.25">
      <c r="B51" t="s">
        <v>47</v>
      </c>
      <c r="C51" s="3">
        <f>'Inputs Volumes &amp; Flows'!F47</f>
        <v>55222.999999999942</v>
      </c>
      <c r="D51" s="31">
        <v>0</v>
      </c>
      <c r="F51" s="16" cm="1">
        <f t="array" ref="F51">(SUMPRODUCT($C$15:$C$24,Distances!AA$4:AA$13)+SUMPRODUCT($D$15:$D$24,Distances!AA$4:AA$13,Distances!AA$91:AA$100))/(SUMPRODUCT($C$15:$C$24*(Distances!AA$4:AA$13&lt;&gt;0))+SUMPRODUCT($D$15:$D$24*Distances!AA$91:AA$100*(Distances!AA$4:AA$13&lt;&gt;0)))</f>
        <v>302.76569857680227</v>
      </c>
      <c r="G51" s="5" cm="1">
        <f t="array" ref="G51">F51*SUM(C51:D51)/SUMPRODUCT($F$30:$F$54*($C$30:$C$54+$D$30:$D$54))</f>
        <v>9.6980067457368439E-4</v>
      </c>
      <c r="H51" s="19">
        <f>IFERROR(G51*$C$9/(C51+D51*(1-Results!$D$13)),0)</f>
        <v>2.1951919367240222</v>
      </c>
      <c r="I51" s="19">
        <f>IF(D51&gt;0,H51*(1-Results!$D$13),0)</f>
        <v>0</v>
      </c>
      <c r="K51" s="114">
        <f>SUMPRODUCT(C51:D54,H51:I54)/(SUM(C51:C54)+SUM(D51:D54)*(1-Results!$D$13))</f>
        <v>2.5396078357412049</v>
      </c>
      <c r="L51" s="19">
        <f>IF($D51&gt;0,K51*(1-Results!$D$13),0)</f>
        <v>0</v>
      </c>
      <c r="N51" s="19">
        <f t="shared" si="7"/>
        <v>2.5396078357412049</v>
      </c>
      <c r="O51" s="19">
        <f>IF($D51&gt;0,N51*(1-Results!$D$13),0)</f>
        <v>0</v>
      </c>
      <c r="Q51" s="231">
        <f t="shared" si="4"/>
        <v>2.7</v>
      </c>
      <c r="R51" s="231">
        <f t="shared" si="5"/>
        <v>0</v>
      </c>
    </row>
    <row r="52" spans="1:33" x14ac:dyDescent="0.25">
      <c r="B52" t="s">
        <v>48</v>
      </c>
      <c r="C52" s="3">
        <f>'Inputs Volumes &amp; Flows'!F48</f>
        <v>22021.999999999978</v>
      </c>
      <c r="D52" s="31">
        <v>0</v>
      </c>
      <c r="F52" s="16" cm="1">
        <f t="array" ref="F52">(SUMPRODUCT($C$15:$C$24,Distances!AB$4:AB$13)+SUMPRODUCT($D$15:$D$24,Distances!AB$4:AB$13,Distances!AB$91:AB$100))/(SUMPRODUCT($C$15:$C$24*(Distances!AB$4:AB$13&lt;&gt;0))+SUMPRODUCT($D$15:$D$24*Distances!AB$91:AB$100*(Distances!AB$4:AB$13&lt;&gt;0)))</f>
        <v>324.42145384428812</v>
      </c>
      <c r="G52" s="5" cm="1">
        <f t="array" ref="G52">F52*SUM(C52:D52)/SUMPRODUCT($F$30:$F$54*($C$30:$C$54+$D$30:$D$54))</f>
        <v>4.1440228312194214E-4</v>
      </c>
      <c r="H52" s="19">
        <f>IFERROR(G52*$C$9/(C52+D52*(1-Results!$D$13)),0)</f>
        <v>2.3522062206086103</v>
      </c>
      <c r="I52" s="19">
        <f>IF(D52&gt;0,H52*(1-Results!$D$13),0)</f>
        <v>0</v>
      </c>
      <c r="K52" s="115">
        <f>SUMPRODUCT(C51:D54,H51:I54)/(SUM(C51:C54)+SUM(D51:D54)*(1-Results!$D$13))</f>
        <v>2.5396078357412049</v>
      </c>
      <c r="L52" s="19">
        <f>IF($D52&gt;0,K52*(1-Results!$D$13),0)</f>
        <v>0</v>
      </c>
      <c r="N52" s="19">
        <f t="shared" si="7"/>
        <v>2.5396078357412049</v>
      </c>
      <c r="O52" s="19">
        <f>IF($D52&gt;0,N52*(1-Results!$D$13),0)</f>
        <v>0</v>
      </c>
      <c r="Q52" s="231">
        <f t="shared" si="4"/>
        <v>2.7</v>
      </c>
      <c r="R52" s="231">
        <f t="shared" si="5"/>
        <v>0</v>
      </c>
    </row>
    <row r="53" spans="1:33" x14ac:dyDescent="0.25">
      <c r="B53" t="s">
        <v>49</v>
      </c>
      <c r="C53" s="3">
        <f>'Inputs Volumes &amp; Flows'!F49</f>
        <v>110086.9999999999</v>
      </c>
      <c r="D53" s="31">
        <v>0</v>
      </c>
      <c r="F53" s="16" cm="1">
        <f t="array" ref="F53">(SUMPRODUCT($C$15:$C$24,Distances!AC$4:AC$13)+SUMPRODUCT($D$15:$D$24,Distances!AC$4:AC$13,Distances!AC$91:AC$100))/(SUMPRODUCT($C$15:$C$24*(Distances!AC$4:AC$13&lt;&gt;0))+SUMPRODUCT($D$15:$D$24*Distances!AC$91:AC$100*(Distances!AC$4:AC$13&lt;&gt;0)))</f>
        <v>338.18055513964055</v>
      </c>
      <c r="G53" s="5" cm="1">
        <f t="array" ref="G53">F53*SUM(C53:D53)/SUMPRODUCT($F$30:$F$54*($C$30:$C$54+$D$30:$D$54))</f>
        <v>2.1594367324677751E-3</v>
      </c>
      <c r="H53" s="19">
        <f>IFERROR(G53*$C$9/(C53+D53*(1-Results!$D$13)),0)</f>
        <v>2.4519660955287379</v>
      </c>
      <c r="I53" s="19">
        <f>IF(D53&gt;0,H53*(1-Results!$D$13),0)</f>
        <v>0</v>
      </c>
      <c r="K53" s="115">
        <f>SUMPRODUCT(C51:D54,H51:I54)/(SUM(C51:C54)+SUM(D51:D54)*(1-Results!$D$13))</f>
        <v>2.5396078357412049</v>
      </c>
      <c r="L53" s="19">
        <f>IF($D53&gt;0,K53*(1-Results!$D$13),0)</f>
        <v>0</v>
      </c>
      <c r="N53" s="19">
        <f t="shared" si="7"/>
        <v>2.5396078357412049</v>
      </c>
      <c r="O53" s="19">
        <f>IF($D53&gt;0,N53*(1-Results!$D$13),0)</f>
        <v>0</v>
      </c>
      <c r="Q53" s="231">
        <f t="shared" si="4"/>
        <v>2.7</v>
      </c>
      <c r="R53" s="231">
        <f t="shared" si="5"/>
        <v>0</v>
      </c>
    </row>
    <row r="54" spans="1:33" ht="15.75" thickBot="1" x14ac:dyDescent="0.3">
      <c r="B54" t="s">
        <v>50</v>
      </c>
      <c r="C54" s="3">
        <f>'Inputs Volumes &amp; Flows'!F50</f>
        <v>284538.99999999971</v>
      </c>
      <c r="D54" s="31">
        <v>0</v>
      </c>
      <c r="F54" s="16" cm="1">
        <f t="array" ref="F54">(SUMPRODUCT($C$15:$C$24,Distances!AD$4:AD$13)+SUMPRODUCT($D$15:$D$24,Distances!AD$4:AD$13,Distances!AD$91:AD$100))/(SUMPRODUCT($C$15:$C$24*(Distances!AD$4:AD$13&lt;&gt;0))+SUMPRODUCT($D$15:$D$24*Distances!AD$91:AD$100*(Distances!AD$4:AD$13&lt;&gt;0)))</f>
        <v>366.16467059520863</v>
      </c>
      <c r="G54" s="5" cm="1">
        <f t="array" ref="G54">F54*SUM(C54:D54)/SUMPRODUCT($F$30:$F$54*($C$30:$C$54+$D$30:$D$54))</f>
        <v>6.0432986223088936E-3</v>
      </c>
      <c r="H54" s="19">
        <f>IFERROR(G54*$C$9/(C54+D54*(1-Results!$D$13)),0)</f>
        <v>2.6548639300363481</v>
      </c>
      <c r="I54" s="19">
        <f>IF(D54&gt;0,H54*(1-Results!$D$13),0)</f>
        <v>0</v>
      </c>
      <c r="K54" s="116">
        <f>SUMPRODUCT(C51:D54,H51:I54)/(SUM(C51:C54)+SUM(D51:D54)*(1-Results!$D$13))</f>
        <v>2.5396078357412049</v>
      </c>
      <c r="L54" s="19">
        <f>IF($D54&gt;0,K54*(1-Results!$D$13),0)</f>
        <v>0</v>
      </c>
      <c r="N54" s="19">
        <f t="shared" si="7"/>
        <v>2.5396078357412049</v>
      </c>
      <c r="O54" s="19">
        <f>IF($D54&gt;0,N54*(1-Results!$D$13),0)</f>
        <v>0</v>
      </c>
      <c r="Q54" s="231">
        <f t="shared" si="4"/>
        <v>2.7</v>
      </c>
      <c r="R54" s="231">
        <f t="shared" si="5"/>
        <v>0</v>
      </c>
    </row>
    <row r="56" spans="1:33" x14ac:dyDescent="0.25">
      <c r="A56" s="26" t="s">
        <v>124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AC56" s="26"/>
      <c r="AD56" s="26"/>
      <c r="AE56" s="26"/>
      <c r="AF56" s="26"/>
      <c r="AG56" s="26"/>
    </row>
    <row r="57" spans="1:33" x14ac:dyDescent="0.25">
      <c r="B57" s="3" t="s">
        <v>126</v>
      </c>
      <c r="D57" s="3">
        <f>C6</f>
        <v>250000000</v>
      </c>
      <c r="E57" s="15" t="s">
        <v>17</v>
      </c>
      <c r="F57" s="15"/>
      <c r="G57" s="98"/>
      <c r="H57" s="19"/>
      <c r="I57" s="19"/>
    </row>
    <row r="58" spans="1:33" x14ac:dyDescent="0.25">
      <c r="B58" s="80" t="s">
        <v>125</v>
      </c>
      <c r="C58" s="12"/>
      <c r="D58" s="80">
        <f>SUMPRODUCT(C15:D24,N15:O24)+SUMPRODUCT(C30:D54,N30:O54)</f>
        <v>235450034.09048831</v>
      </c>
      <c r="E58" s="15" t="s">
        <v>17</v>
      </c>
      <c r="F58" s="15"/>
      <c r="G58" s="98"/>
      <c r="H58" s="19"/>
      <c r="I58" s="19"/>
    </row>
    <row r="59" spans="1:33" x14ac:dyDescent="0.25">
      <c r="A59" s="15"/>
      <c r="B59" s="3" t="s">
        <v>127</v>
      </c>
      <c r="D59" s="5">
        <f>D57/D58</f>
        <v>1.0617964060430751</v>
      </c>
      <c r="F59" s="117"/>
      <c r="G59" s="98"/>
      <c r="H59" s="19"/>
      <c r="I59" s="19"/>
    </row>
    <row r="60" spans="1:33" x14ac:dyDescent="0.25">
      <c r="A60" s="15"/>
      <c r="F60" s="16"/>
      <c r="G60" s="98"/>
      <c r="H60" s="19"/>
      <c r="I60" s="19"/>
    </row>
    <row r="61" spans="1:33" hidden="1" x14ac:dyDescent="0.25">
      <c r="A61" s="26" t="s">
        <v>187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AC61" s="26"/>
      <c r="AD61" s="26"/>
      <c r="AE61" s="26"/>
      <c r="AF61" s="26"/>
      <c r="AG61" s="26"/>
    </row>
    <row r="62" spans="1:33" hidden="1" x14ac:dyDescent="0.25">
      <c r="A62" s="15"/>
      <c r="B62" t="s">
        <v>129</v>
      </c>
      <c r="D62" s="3">
        <f>SUMPRODUCT(C15:D24,Q15:R24)-SUMPRODUCT(C21:D21,Q21:R21)-'Inputs Volumes &amp; Flows'!F27*CWD!Q15+(SUMPRODUCT(C30:D45,Q30:R45)-C36*Q36-D36*R36)</f>
        <v>170449105.22398543</v>
      </c>
      <c r="E62" s="15" t="s">
        <v>17</v>
      </c>
      <c r="F62" s="16"/>
      <c r="G62" s="98"/>
      <c r="H62" s="19"/>
      <c r="I62" s="19"/>
    </row>
    <row r="63" spans="1:33" hidden="1" x14ac:dyDescent="0.25">
      <c r="A63" s="15"/>
      <c r="B63" s="12" t="s">
        <v>130</v>
      </c>
      <c r="C63" s="12"/>
      <c r="D63" s="80">
        <f>SUMPRODUCT(C21:D21,Q21:R21)+'Inputs Volumes &amp; Flows'!F27*CWD!Q15+SUMPRODUCT(C36:D36,Q36:R36)+SUMPRODUCT(C46:D54,Q46:R54)</f>
        <v>79528063.709163576</v>
      </c>
      <c r="E63" s="15" t="s">
        <v>17</v>
      </c>
      <c r="F63" s="16"/>
      <c r="G63" s="98"/>
      <c r="H63" s="19"/>
      <c r="I63" s="19"/>
    </row>
    <row r="64" spans="1:33" hidden="1" x14ac:dyDescent="0.25">
      <c r="A64" s="15"/>
      <c r="B64" t="s">
        <v>128</v>
      </c>
      <c r="D64" s="3">
        <f>D62-C4</f>
        <v>75449105.223985434</v>
      </c>
      <c r="E64" s="15" t="s">
        <v>17</v>
      </c>
      <c r="F64" s="16"/>
      <c r="G64" s="98"/>
      <c r="H64" s="19"/>
      <c r="I64" s="19"/>
    </row>
    <row r="65" spans="1:33" hidden="1" x14ac:dyDescent="0.25">
      <c r="A65" s="15"/>
      <c r="B65" t="s">
        <v>93</v>
      </c>
      <c r="D65" s="11">
        <f>D64/D62</f>
        <v>0.4426488782375157</v>
      </c>
      <c r="F65" s="16"/>
      <c r="G65" s="98"/>
      <c r="H65" s="19"/>
      <c r="I65" s="19"/>
    </row>
    <row r="66" spans="1:33" hidden="1" x14ac:dyDescent="0.25">
      <c r="A66" s="15"/>
      <c r="F66" s="16"/>
      <c r="G66" s="98"/>
      <c r="H66" s="19"/>
      <c r="I66" s="19"/>
    </row>
    <row r="67" spans="1:33" x14ac:dyDescent="0.25">
      <c r="A67" s="26" t="s">
        <v>199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AC67" s="26"/>
      <c r="AD67" s="26"/>
      <c r="AE67" s="26"/>
      <c r="AF67" s="26"/>
      <c r="AG67" s="26"/>
    </row>
    <row r="68" spans="1:33" ht="30" x14ac:dyDescent="0.25">
      <c r="B68" s="6" t="s">
        <v>19</v>
      </c>
      <c r="C68" s="6" t="s">
        <v>169</v>
      </c>
      <c r="D68" s="6" t="s">
        <v>170</v>
      </c>
      <c r="E68" s="6"/>
      <c r="F68" s="6" t="s">
        <v>171</v>
      </c>
      <c r="G68" s="6"/>
    </row>
    <row r="69" spans="1:33" x14ac:dyDescent="0.25">
      <c r="B69" t="s">
        <v>21</v>
      </c>
      <c r="C69" s="231">
        <f>Q16</f>
        <v>2.97</v>
      </c>
      <c r="D69" s="257">
        <v>0.12</v>
      </c>
      <c r="F69" s="236">
        <f>ROUND((1-D69)*C69,2)</f>
        <v>2.61</v>
      </c>
      <c r="G69" s="232" t="s">
        <v>168</v>
      </c>
    </row>
    <row r="70" spans="1:33" x14ac:dyDescent="0.25">
      <c r="B70" t="s">
        <v>22</v>
      </c>
      <c r="C70" s="231">
        <f>Q17</f>
        <v>2.97</v>
      </c>
      <c r="D70" s="257">
        <v>0.12</v>
      </c>
      <c r="F70" s="236">
        <f>ROUND((1-D70)*C70,2)</f>
        <v>2.61</v>
      </c>
      <c r="G70" s="232" t="s">
        <v>168</v>
      </c>
    </row>
    <row r="71" spans="1:33" x14ac:dyDescent="0.25">
      <c r="B71" t="s">
        <v>34</v>
      </c>
      <c r="C71" s="230"/>
      <c r="D71" s="230"/>
      <c r="F71" s="236">
        <f>ROUND(CWD!F18/CWD!F15*CWD!Q15,2)</f>
        <v>1.58</v>
      </c>
      <c r="G71" s="232" t="s">
        <v>168</v>
      </c>
    </row>
    <row r="72" spans="1:33" x14ac:dyDescent="0.25">
      <c r="B72" t="s">
        <v>30</v>
      </c>
      <c r="C72" s="230"/>
      <c r="D72" s="230"/>
      <c r="F72" s="236">
        <f>ROUND(CWD!F19/CWD!F15*CWD!Q15,2)</f>
        <v>1.35</v>
      </c>
      <c r="G72" s="232" t="s">
        <v>168</v>
      </c>
    </row>
    <row r="73" spans="1:33" x14ac:dyDescent="0.25">
      <c r="B73" t="s">
        <v>29</v>
      </c>
      <c r="C73" s="230"/>
      <c r="D73" s="230"/>
      <c r="F73" s="236">
        <f>ROUND(CWD!F20/CWD!F21*CWD!Q21,2)</f>
        <v>2.69</v>
      </c>
      <c r="G73" s="232" t="s">
        <v>168</v>
      </c>
    </row>
  </sheetData>
  <sheetProtection algorithmName="SHA-512" hashValue="pXTqduVkpOdlZlNyN+fkier83HWHtSPDbN8BLvZ8ORAVj7z74ZgTHxbMwKuNOReedipvrXO0Y6t21mal1BmVew==" saltValue="RlG2xwN8JkjhTsmKD6ysBw==" spinCount="100000" sheet="1" objects="1" scenarios="1" selectLockedCells="1"/>
  <conditionalFormatting sqref="H15:I24">
    <cfRule type="cellIs" dxfId="12" priority="26" operator="equal">
      <formula>0</formula>
    </cfRule>
  </conditionalFormatting>
  <conditionalFormatting sqref="H30:I54">
    <cfRule type="cellIs" dxfId="11" priority="25" operator="equal">
      <formula>0</formula>
    </cfRule>
  </conditionalFormatting>
  <conditionalFormatting sqref="H57:I60">
    <cfRule type="cellIs" dxfId="10" priority="20" operator="equal">
      <formula>0</formula>
    </cfRule>
  </conditionalFormatting>
  <conditionalFormatting sqref="H62:I66">
    <cfRule type="cellIs" dxfId="9" priority="28" operator="equal">
      <formula>0</formula>
    </cfRule>
  </conditionalFormatting>
  <conditionalFormatting sqref="K15:L24">
    <cfRule type="cellIs" dxfId="8" priority="10" operator="equal">
      <formula>0</formula>
    </cfRule>
  </conditionalFormatting>
  <conditionalFormatting sqref="K30:L54">
    <cfRule type="cellIs" dxfId="7" priority="13" operator="equal">
      <formula>0</formula>
    </cfRule>
  </conditionalFormatting>
  <conditionalFormatting sqref="N15:O24">
    <cfRule type="cellIs" dxfId="6" priority="11" operator="equal">
      <formula>0</formula>
    </cfRule>
  </conditionalFormatting>
  <conditionalFormatting sqref="N30:O54">
    <cfRule type="cellIs" dxfId="5" priority="12" operator="equal">
      <formula>0</formula>
    </cfRule>
  </conditionalFormatting>
  <conditionalFormatting sqref="Q15:R24">
    <cfRule type="cellIs" dxfId="4" priority="9" operator="equal">
      <formula>0</formula>
    </cfRule>
  </conditionalFormatting>
  <conditionalFormatting sqref="Q30:R54">
    <cfRule type="cellIs" dxfId="3" priority="8" operator="equal">
      <formula>0</formula>
    </cfRule>
  </conditionalFormatting>
  <pageMargins left="0.7" right="0.7" top="0.78740157499999996" bottom="0.78740157499999996" header="0.3" footer="0.3"/>
  <ignoredErrors>
    <ignoredError sqref="K51:K5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629F-723A-4D0D-A435-5B724D756E4B}">
  <sheetPr>
    <tabColor rgb="FF0A4669"/>
  </sheetPr>
  <dimension ref="A1:R73"/>
  <sheetViews>
    <sheetView showGridLines="0" workbookViewId="0">
      <selection activeCell="G55" sqref="G55"/>
    </sheetView>
  </sheetViews>
  <sheetFormatPr baseColWidth="10" defaultRowHeight="15" x14ac:dyDescent="0.25"/>
  <cols>
    <col min="1" max="1" width="3.42578125" customWidth="1"/>
    <col min="2" max="2" width="16.85546875" customWidth="1"/>
    <col min="3" max="3" width="24" bestFit="1" customWidth="1"/>
    <col min="4" max="5" width="13.140625" customWidth="1"/>
    <col min="6" max="6" width="8.28515625" customWidth="1"/>
    <col min="12" max="12" width="13.42578125" customWidth="1"/>
    <col min="14" max="14" width="12.5703125" style="8" bestFit="1" customWidth="1"/>
    <col min="15" max="15" width="13.5703125" style="8" bestFit="1" customWidth="1"/>
    <col min="16" max="16" width="12.5703125" style="8" bestFit="1" customWidth="1"/>
    <col min="17" max="17" width="2.28515625" customWidth="1"/>
    <col min="18" max="20" width="14" customWidth="1"/>
  </cols>
  <sheetData>
    <row r="1" spans="1:18" x14ac:dyDescent="0.25">
      <c r="A1" s="15"/>
    </row>
    <row r="2" spans="1:18" x14ac:dyDescent="0.25">
      <c r="A2" s="26" t="s">
        <v>144</v>
      </c>
      <c r="B2" s="26"/>
      <c r="C2" s="26"/>
      <c r="D2" s="26"/>
      <c r="E2" s="26"/>
      <c r="F2" s="26"/>
      <c r="N2"/>
      <c r="O2"/>
      <c r="P2"/>
    </row>
    <row r="3" spans="1:18" x14ac:dyDescent="0.25">
      <c r="A3" s="15"/>
      <c r="D3" s="4" t="s">
        <v>54</v>
      </c>
      <c r="E3" s="4" t="s">
        <v>53</v>
      </c>
    </row>
    <row r="4" spans="1:18" x14ac:dyDescent="0.25">
      <c r="A4" s="15"/>
      <c r="B4" s="15" t="s">
        <v>17</v>
      </c>
      <c r="C4" t="s">
        <v>134</v>
      </c>
      <c r="D4" s="3" cm="1">
        <f t="array" ref="D4">SUMPRODUCT(CAA!E34:E43*CAA!C34:C43)</f>
        <v>33607439.265127108</v>
      </c>
      <c r="E4" s="3" cm="1">
        <f t="array" ref="E4">SUMPRODUCT(CAA!E34:E43*CAA!D34:D43)</f>
        <v>83577203.378869265</v>
      </c>
    </row>
    <row r="5" spans="1:18" x14ac:dyDescent="0.25">
      <c r="A5" s="15"/>
      <c r="B5" s="15" t="s">
        <v>17</v>
      </c>
      <c r="C5" s="12" t="s">
        <v>135</v>
      </c>
      <c r="D5" s="80" cm="1">
        <f t="array" ref="D5">SUMPRODUCT(CWD!C30:D54*CWD!Q30:R54*(CAA!D49:D73=CAA!D3))</f>
        <v>35952069.149999991</v>
      </c>
      <c r="E5" s="80" cm="1">
        <f t="array" ref="E5">SUMPRODUCT(CWD!C30:D54*CWD!Q30:R54*(CAA!D49:D73=CAA!E3))</f>
        <v>96840457.139152631</v>
      </c>
    </row>
    <row r="6" spans="1:18" x14ac:dyDescent="0.25">
      <c r="A6" s="15"/>
      <c r="B6" s="15" t="s">
        <v>17</v>
      </c>
      <c r="C6" t="s">
        <v>136</v>
      </c>
      <c r="D6" s="3">
        <f>D4+D5</f>
        <v>69559508.415127099</v>
      </c>
      <c r="E6" s="3">
        <f>E4+E5</f>
        <v>180417660.51802188</v>
      </c>
    </row>
    <row r="7" spans="1:18" x14ac:dyDescent="0.25">
      <c r="A7" s="15"/>
      <c r="B7" s="15"/>
      <c r="F7" s="3"/>
    </row>
    <row r="8" spans="1:18" x14ac:dyDescent="0.25">
      <c r="A8" s="15"/>
      <c r="B8" s="15" t="s">
        <v>149</v>
      </c>
      <c r="C8" t="s">
        <v>137</v>
      </c>
      <c r="D8" s="3">
        <f>SUMPRODUCT(CAA!C34:C43,CAA!F34:F43)/1000</f>
        <v>2729371.8733953647</v>
      </c>
      <c r="E8" s="3">
        <f>SUMPRODUCT(CAA!D34:D43,CAA!G34:G43)/1000</f>
        <v>12256881.014201568</v>
      </c>
      <c r="F8" s="3"/>
    </row>
    <row r="9" spans="1:18" x14ac:dyDescent="0.25">
      <c r="A9" s="15"/>
      <c r="B9" s="15" t="s">
        <v>149</v>
      </c>
      <c r="C9" s="12" t="s">
        <v>138</v>
      </c>
      <c r="D9" s="80">
        <f>SUMIFS(CAA!C49:C73,CAA!D49:D73,CAA!D3)/1000</f>
        <v>4659351.3513909755</v>
      </c>
      <c r="E9" s="80">
        <f>SUMIFS(CAA!C49:C73,CAA!D49:D73,CAA!E3)/1000</f>
        <v>12580923.491536444</v>
      </c>
      <c r="F9" s="3"/>
    </row>
    <row r="10" spans="1:18" x14ac:dyDescent="0.25">
      <c r="A10" s="15"/>
      <c r="B10" s="15" t="s">
        <v>149</v>
      </c>
      <c r="C10" t="s">
        <v>140</v>
      </c>
      <c r="D10" s="3">
        <f>D8+D9</f>
        <v>7388723.2247863403</v>
      </c>
      <c r="E10" s="3">
        <f>E8+E9</f>
        <v>24837804.505738012</v>
      </c>
      <c r="F10" s="3"/>
      <c r="R10" s="3"/>
    </row>
    <row r="11" spans="1:18" x14ac:dyDescent="0.25">
      <c r="A11" s="15"/>
      <c r="B11" s="15"/>
      <c r="D11" s="3"/>
      <c r="E11" s="3"/>
    </row>
    <row r="12" spans="1:18" x14ac:dyDescent="0.25">
      <c r="A12" s="15"/>
      <c r="B12" s="15"/>
      <c r="C12" t="s">
        <v>141</v>
      </c>
      <c r="D12" s="123">
        <f>D6/D10</f>
        <v>9.4142798828600807</v>
      </c>
      <c r="E12" s="123">
        <f>E6/E10</f>
        <v>7.2638328591539532</v>
      </c>
    </row>
    <row r="13" spans="1:18" x14ac:dyDescent="0.25">
      <c r="A13" s="15"/>
      <c r="B13" s="15"/>
      <c r="D13" s="3"/>
      <c r="E13" s="3"/>
    </row>
    <row r="14" spans="1:18" x14ac:dyDescent="0.25">
      <c r="A14" s="15"/>
      <c r="B14" s="15"/>
      <c r="C14" s="127" t="s">
        <v>147</v>
      </c>
      <c r="D14" s="128"/>
      <c r="E14" s="128"/>
      <c r="F14" s="129">
        <f>2*ABS(D12-E12)/(D12+E12)</f>
        <v>0.25787654238466812</v>
      </c>
    </row>
    <row r="15" spans="1:18" x14ac:dyDescent="0.25">
      <c r="A15" s="15"/>
      <c r="D15" s="3"/>
      <c r="E15" s="3"/>
      <c r="F15" s="3"/>
    </row>
    <row r="16" spans="1:18" x14ac:dyDescent="0.25">
      <c r="A16" s="26" t="s">
        <v>145</v>
      </c>
      <c r="B16" s="26"/>
      <c r="C16" s="26"/>
      <c r="D16" s="26"/>
      <c r="E16" s="26"/>
      <c r="F16" s="26"/>
    </row>
    <row r="17" spans="1:11" x14ac:dyDescent="0.25">
      <c r="A17" s="15"/>
      <c r="D17" s="4" t="s">
        <v>54</v>
      </c>
      <c r="E17" s="4" t="s">
        <v>53</v>
      </c>
    </row>
    <row r="18" spans="1:11" x14ac:dyDescent="0.25">
      <c r="A18" s="15"/>
      <c r="B18" s="15" t="s">
        <v>17</v>
      </c>
      <c r="C18" t="s">
        <v>134</v>
      </c>
      <c r="D18" s="3">
        <f>Results!$D$29*SUM(CAA!J34:J43)</f>
        <v>11811721.640346952</v>
      </c>
      <c r="E18" s="3">
        <f>Results!$D$29*SUM(CAA!K34:K43)</f>
        <v>13187403.974266093</v>
      </c>
    </row>
    <row r="19" spans="1:11" x14ac:dyDescent="0.25">
      <c r="A19" s="15"/>
      <c r="B19" s="15" t="s">
        <v>17</v>
      </c>
      <c r="C19" s="12" t="s">
        <v>135</v>
      </c>
      <c r="D19" s="80" cm="1">
        <f t="array" ref="D19">Results!$D$30*SUMPRODUCT(CAA!$I$49:$I$73*(CAA!$D$49:$D$73=D$17))</f>
        <v>10397749.025699278</v>
      </c>
      <c r="E19" s="80" cm="1">
        <f t="array" ref="E19">Results!$D$30*SUMPRODUCT(CAA!$I$49:$I$73*(CAA!$D$49:$D$73=E$17))</f>
        <v>14602857.875613563</v>
      </c>
    </row>
    <row r="20" spans="1:11" x14ac:dyDescent="0.25">
      <c r="A20" s="15"/>
      <c r="B20" s="15" t="s">
        <v>17</v>
      </c>
      <c r="C20" t="s">
        <v>136</v>
      </c>
      <c r="D20" s="3">
        <f>D18+D19</f>
        <v>22209470.666046232</v>
      </c>
      <c r="E20" s="3">
        <f>E18+E19</f>
        <v>27790261.849879656</v>
      </c>
    </row>
    <row r="21" spans="1:11" x14ac:dyDescent="0.25">
      <c r="A21" s="15"/>
      <c r="B21" s="15"/>
    </row>
    <row r="22" spans="1:11" x14ac:dyDescent="0.25">
      <c r="A22" s="15"/>
      <c r="B22" s="15" t="s">
        <v>92</v>
      </c>
      <c r="C22" t="s">
        <v>137</v>
      </c>
      <c r="D22" s="3">
        <f>SUM(CAA!J34:J43)</f>
        <v>98661223.190335393</v>
      </c>
      <c r="E22" s="3">
        <f>SUM(CAA!K34:K43)</f>
        <v>110152054.57956977</v>
      </c>
      <c r="F22" s="3"/>
    </row>
    <row r="23" spans="1:11" x14ac:dyDescent="0.25">
      <c r="A23" s="15"/>
      <c r="B23" s="15" t="s">
        <v>92</v>
      </c>
      <c r="C23" s="12" t="s">
        <v>138</v>
      </c>
      <c r="D23" s="80">
        <f>SUMIFS(CAA!$I$49:$I$73,CAA!$D$49:$D$73,D$17)</f>
        <v>78432141.703999996</v>
      </c>
      <c r="E23" s="80">
        <f>SUMIFS(CAA!$I$49:$I$73,CAA!$D$49:$D$73,E$17)</f>
        <v>110152054.57956976</v>
      </c>
      <c r="F23" s="3"/>
    </row>
    <row r="24" spans="1:11" x14ac:dyDescent="0.25">
      <c r="A24" s="15"/>
      <c r="B24" s="15" t="s">
        <v>92</v>
      </c>
      <c r="C24" t="s">
        <v>140</v>
      </c>
      <c r="D24" s="3">
        <f>D22+D23</f>
        <v>177093364.89433539</v>
      </c>
      <c r="E24" s="3">
        <f>E22+E23</f>
        <v>220304109.15913951</v>
      </c>
      <c r="F24" s="3"/>
    </row>
    <row r="25" spans="1:11" x14ac:dyDescent="0.25">
      <c r="A25" s="15"/>
      <c r="B25" s="15"/>
      <c r="D25" s="3"/>
      <c r="E25" s="3"/>
    </row>
    <row r="26" spans="1:11" x14ac:dyDescent="0.25">
      <c r="A26" s="15"/>
      <c r="B26" s="15"/>
      <c r="C26" t="s">
        <v>141</v>
      </c>
      <c r="D26" s="123">
        <f>D20/D24</f>
        <v>0.12541108290137096</v>
      </c>
      <c r="E26" s="123">
        <f>E20/E24</f>
        <v>0.12614500000000001</v>
      </c>
    </row>
    <row r="27" spans="1:11" x14ac:dyDescent="0.25">
      <c r="A27" s="15"/>
      <c r="B27" s="15"/>
      <c r="D27" s="3"/>
      <c r="E27" s="3"/>
    </row>
    <row r="28" spans="1:11" x14ac:dyDescent="0.25">
      <c r="A28" s="15"/>
      <c r="B28" s="15"/>
      <c r="C28" s="127" t="s">
        <v>146</v>
      </c>
      <c r="D28" s="128"/>
      <c r="E28" s="128"/>
      <c r="F28" s="129">
        <f>2*ABS(D26-E26)/(D26+E26)</f>
        <v>5.8350177039193365E-3</v>
      </c>
    </row>
    <row r="30" spans="1:11" x14ac:dyDescent="0.25">
      <c r="A30" s="26" t="s">
        <v>183</v>
      </c>
      <c r="B30" s="26"/>
      <c r="C30" s="26"/>
      <c r="D30" s="26"/>
      <c r="E30" s="118"/>
      <c r="F30" s="118"/>
      <c r="G30" s="118"/>
      <c r="H30" s="26"/>
      <c r="I30" s="26"/>
      <c r="J30" s="26"/>
      <c r="K30" s="26"/>
    </row>
    <row r="31" spans="1:11" x14ac:dyDescent="0.25">
      <c r="C31" s="121" t="s">
        <v>185</v>
      </c>
      <c r="D31" s="121"/>
      <c r="E31" s="121"/>
      <c r="F31" s="121"/>
      <c r="G31" s="121"/>
      <c r="I31" s="121" t="s">
        <v>186</v>
      </c>
      <c r="J31" s="121"/>
      <c r="K31" s="121"/>
    </row>
    <row r="32" spans="1:11" x14ac:dyDescent="0.25">
      <c r="C32" s="81" t="s">
        <v>32</v>
      </c>
      <c r="D32" s="81" t="s">
        <v>32</v>
      </c>
      <c r="E32" s="81" t="s">
        <v>107</v>
      </c>
      <c r="F32" s="81" t="s">
        <v>33</v>
      </c>
      <c r="G32" s="81" t="s">
        <v>33</v>
      </c>
      <c r="I32" s="81" t="s">
        <v>92</v>
      </c>
      <c r="J32" s="81" t="s">
        <v>92</v>
      </c>
      <c r="K32" s="81" t="s">
        <v>92</v>
      </c>
    </row>
    <row r="33" spans="1:11" ht="30" x14ac:dyDescent="0.25">
      <c r="A33" s="15"/>
      <c r="C33" s="6" t="s">
        <v>54</v>
      </c>
      <c r="D33" s="6" t="s">
        <v>53</v>
      </c>
      <c r="E33" s="6" t="s">
        <v>139</v>
      </c>
      <c r="F33" s="6" t="s">
        <v>142</v>
      </c>
      <c r="G33" s="6" t="s">
        <v>143</v>
      </c>
      <c r="I33" s="6" t="s">
        <v>148</v>
      </c>
      <c r="J33" s="6" t="s">
        <v>54</v>
      </c>
      <c r="K33" s="6" t="s">
        <v>53</v>
      </c>
    </row>
    <row r="34" spans="1:11" x14ac:dyDescent="0.25">
      <c r="A34" s="15"/>
      <c r="B34" t="s">
        <v>20</v>
      </c>
      <c r="C34" s="3">
        <f>SUM(CWD!C15:D15)-D34</f>
        <v>7395086.1549438946</v>
      </c>
      <c r="D34" s="3" cm="1">
        <f t="array" ref="D34">SUM(CWD!C15:D15)/SUM(CWD!$C$15:$D$24)*SUMPRODUCT(CWD!$C$30:$D$54*($D$49:$D$73=$D$33))</f>
        <v>18390589.497169428</v>
      </c>
      <c r="E34" s="122">
        <f>IFERROR(SUMPRODUCT(CWD!C15:D15,CWD!Q15:R15)/SUM(CWD!C15:D15),0)</f>
        <v>1.1100000000000001</v>
      </c>
      <c r="F34" s="16" cm="1">
        <f t="array" ref="F34">(SUMPRODUCT(TRANSPOSE(Distances!$F4:$AD4)*CWD!$C$30:$C$54*(CAA!$D$49:$D$73=CAA!C$33))+SUMPRODUCT(TRANSPOSE(Distances!$F4:$AD4)*TRANSPOSE(Distances!$F91:$AD91)*CWD!$D$30:$D$54*(CAA!$D$49:$D$73=CAA!C$33)))/(SUMPRODUCT((TRANSPOSE(Distances!$F4:$AD4)&lt;&gt;0)*CWD!$C$30:$C$54*($D$49:$D$73=C$33))+SUMPRODUCT((TRANSPOSE(Distances!$F4:$AD4)&lt;&gt;0)*TRANSPOSE(Distances!$F91:$AD91)*CWD!$D$30:$D$54*($D$49:$D$73=C$33)))</f>
        <v>31.296787460123472</v>
      </c>
      <c r="G34" s="16" cm="1">
        <f t="array" ref="G34">(SUMPRODUCT(TRANSPOSE(Distances!$F4:$AD4)*CWD!$C$30:$C$54*(CAA!$D$49:$D$73=CAA!D$33))+SUMPRODUCT(TRANSPOSE(Distances!$F4:$AD4)*TRANSPOSE(Distances!$F91:$AD91)*CWD!$D$30:$D$54*(CAA!$D$49:$D$73=CAA!D$33)))/(SUMPRODUCT((TRANSPOSE(Distances!$F4:$AD4)&lt;&gt;0)*CWD!$C$30:$C$54*($D$49:$D$73=D$33))+SUMPRODUCT((TRANSPOSE(Distances!$F4:$AD4)&lt;&gt;0)*TRANSPOSE(Distances!$F91:$AD91)*CWD!$D$30:$D$54*($D$49:$D$73=D$33)))</f>
        <v>186.39323239815843</v>
      </c>
      <c r="I34" s="3">
        <f>SUM('Inputs Volumes &amp; Flows'!F55:F56,'Inputs Volumes &amp; Flows'!F74)/1000</f>
        <v>59153237.037014388</v>
      </c>
      <c r="J34" s="3">
        <f t="shared" ref="J34:J40" si="0">I34-K34</f>
        <v>27949040.329564773</v>
      </c>
      <c r="K34" s="3">
        <f t="shared" ref="K34:K40" si="1">I34/SUM($I$34:$I$43)*SUMIFS($I$49:$I$73,$D$49:$D$73,$K$33)</f>
        <v>31204196.707449615</v>
      </c>
    </row>
    <row r="35" spans="1:11" x14ac:dyDescent="0.25">
      <c r="A35" s="15"/>
      <c r="B35" t="s">
        <v>21</v>
      </c>
      <c r="C35" s="3">
        <f>SUM(CWD!C16:D16)-D35</f>
        <v>3150970.7627748391</v>
      </c>
      <c r="D35" s="3" cm="1">
        <f t="array" ref="D35">SUM(CWD!C16:D16)/SUM(CWD!$C$15:$D$24)*SUMPRODUCT(CWD!$C$30:$D$54*($D$49:$D$73=$D$33))</f>
        <v>7836042.556047081</v>
      </c>
      <c r="E35" s="122">
        <f>IFERROR(SUMPRODUCT(CWD!C16:D16,CWD!Q16:R16)/SUM(CWD!C16:D16),0)</f>
        <v>2.97</v>
      </c>
      <c r="F35" s="16" cm="1">
        <f t="array" ref="F35">(SUMPRODUCT(TRANSPOSE(Distances!$F5:$AD5)*CWD!$C$30:$C$54*(CAA!$D$49:$D$73=CAA!C$33))+SUMPRODUCT(TRANSPOSE(Distances!$F5:$AD5)*TRANSPOSE(Distances!$F92:$AD92)*CWD!$D$30:$D$54*(CAA!$D$49:$D$73=CAA!C$33)))/(SUMPRODUCT((TRANSPOSE(Distances!$F5:$AD5)&lt;&gt;0)*CWD!$C$30:$C$54*($D$49:$D$73=C$33))+SUMPRODUCT((TRANSPOSE(Distances!$F5:$AD5)&lt;&gt;0)*TRANSPOSE(Distances!$F92:$AD92)*CWD!$D$30:$D$54*($D$49:$D$73=C$33)))</f>
        <v>251.25589095012279</v>
      </c>
      <c r="G35" s="16" cm="1">
        <f t="array" ref="G35">(SUMPRODUCT(TRANSPOSE(Distances!$F5:$AD5)*CWD!$C$30:$C$54*(CAA!$D$49:$D$73=CAA!D$33))+SUMPRODUCT(TRANSPOSE(Distances!$F5:$AD5)*TRANSPOSE(Distances!$F92:$AD92)*CWD!$D$30:$D$54*(CAA!$D$49:$D$73=CAA!D$33)))/(SUMPRODUCT((TRANSPOSE(Distances!$F5:$AD5)&lt;&gt;0)*CWD!$C$30:$C$54*($D$49:$D$73=D$33))+SUMPRODUCT((TRANSPOSE(Distances!$F5:$AD5)&lt;&gt;0)*TRANSPOSE(Distances!$F92:$AD92)*CWD!$D$30:$D$54*($D$49:$D$73=D$33)))</f>
        <v>304.38497536876935</v>
      </c>
      <c r="I35" s="3">
        <f>'Inputs Volumes &amp; Flows'!F57/1000</f>
        <v>56380240.171232864</v>
      </c>
      <c r="J35" s="3">
        <f t="shared" si="0"/>
        <v>26638839.821230996</v>
      </c>
      <c r="K35" s="3">
        <f t="shared" si="1"/>
        <v>29741400.350001868</v>
      </c>
    </row>
    <row r="36" spans="1:11" x14ac:dyDescent="0.25">
      <c r="A36" s="15"/>
      <c r="B36" t="s">
        <v>22</v>
      </c>
      <c r="C36" s="3">
        <f>SUM(CWD!C17:D17)-D36</f>
        <v>1602553.9155295189</v>
      </c>
      <c r="D36" s="3" cm="1">
        <f t="array" ref="D36">SUM(CWD!C17:D17)/SUM(CWD!$C$15:$D$24)*SUMPRODUCT(CWD!$C$30:$D$54*($D$49:$D$73=$D$33))</f>
        <v>3985337.099538974</v>
      </c>
      <c r="E36" s="122">
        <f>IFERROR(SUMPRODUCT(CWD!C17:D17,CWD!Q17:R17)/SUM(CWD!C17:D17),0)</f>
        <v>2.7897710017456996</v>
      </c>
      <c r="F36" s="16" cm="1">
        <f t="array" ref="F36">(SUMPRODUCT(TRANSPOSE(Distances!$F6:$AD6)*CWD!$C$30:$C$54*(CAA!$D$49:$D$73=CAA!C$33))+SUMPRODUCT(TRANSPOSE(Distances!$F6:$AD6)*TRANSPOSE(Distances!$F93:$AD93)*CWD!$D$30:$D$54*(CAA!$D$49:$D$73=CAA!C$33)))/(SUMPRODUCT((TRANSPOSE(Distances!$F6:$AD6)&lt;&gt;0)*CWD!$C$30:$C$54*($D$49:$D$73=C$33))+SUMPRODUCT((TRANSPOSE(Distances!$F6:$AD6)&lt;&gt;0)*TRANSPOSE(Distances!$F93:$AD93)*CWD!$D$30:$D$54*($D$49:$D$73=C$33)))</f>
        <v>365.99505501099577</v>
      </c>
      <c r="G36" s="16" cm="1">
        <f t="array" ref="G36">(SUMPRODUCT(TRANSPOSE(Distances!$F6:$AD6)*CWD!$C$30:$C$54*(CAA!$D$49:$D$73=CAA!D$33))+SUMPRODUCT(TRANSPOSE(Distances!$F6:$AD6)*TRANSPOSE(Distances!$F93:$AD93)*CWD!$D$30:$D$54*(CAA!$D$49:$D$73=CAA!D$33)))/(SUMPRODUCT((TRANSPOSE(Distances!$F6:$AD6)&lt;&gt;0)*CWD!$C$30:$C$54*($D$49:$D$73=D$33))+SUMPRODUCT((TRANSPOSE(Distances!$F6:$AD6)&lt;&gt;0)*TRANSPOSE(Distances!$F93:$AD93)*CWD!$D$30:$D$54*($D$49:$D$73=D$33)))</f>
        <v>328.76790918927719</v>
      </c>
      <c r="I36" s="3">
        <f>SUM('Inputs Volumes &amp; Flows'!F58:F59)/1000</f>
        <v>19733489.94966165</v>
      </c>
      <c r="J36" s="3">
        <f t="shared" si="0"/>
        <v>9323785.7143986952</v>
      </c>
      <c r="K36" s="3">
        <f t="shared" si="1"/>
        <v>10409704.235262955</v>
      </c>
    </row>
    <row r="37" spans="1:11" x14ac:dyDescent="0.25">
      <c r="A37" s="15"/>
      <c r="B37" t="s">
        <v>34</v>
      </c>
      <c r="C37" s="3">
        <f>SUM(CWD!C18:D18)-D37</f>
        <v>0</v>
      </c>
      <c r="D37" s="3" cm="1">
        <f t="array" ref="D37">SUM(CWD!C18:D18)/SUM(CWD!$C$15:$D$24)*SUMPRODUCT(CWD!$C$30:$D$54*($D$49:$D$73=$D$33))</f>
        <v>0</v>
      </c>
      <c r="E37" s="122">
        <f>IFERROR(SUMPRODUCT(CWD!C18:D18,CWD!Q18:R18)/SUM(CWD!C18:D18),0)</f>
        <v>0</v>
      </c>
      <c r="F37" s="16" cm="1">
        <f t="array" ref="F37">(SUMPRODUCT(TRANSPOSE(Distances!$F7:$AD7)*CWD!$C$30:$C$54*(CAA!$D$49:$D$73=CAA!C$33))+SUMPRODUCT(TRANSPOSE(Distances!$F7:$AD7)*TRANSPOSE(Distances!$F94:$AD94)*CWD!$D$30:$D$54*(CAA!$D$49:$D$73=CAA!C$33)))/(SUMPRODUCT((TRANSPOSE(Distances!$F7:$AD7)&lt;&gt;0)*CWD!$C$30:$C$54*($D$49:$D$73=C$33))+SUMPRODUCT((TRANSPOSE(Distances!$F7:$AD7)&lt;&gt;0)*TRANSPOSE(Distances!$F94:$AD94)*CWD!$D$30:$D$54*($D$49:$D$73=C$33)))</f>
        <v>75.079206759304896</v>
      </c>
      <c r="G37" s="16" cm="1">
        <f t="array" ref="G37">(SUMPRODUCT(TRANSPOSE(Distances!$F7:$AD7)*CWD!$C$30:$C$54*(CAA!$D$49:$D$73=CAA!D$33))+SUMPRODUCT(TRANSPOSE(Distances!$F7:$AD7)*TRANSPOSE(Distances!$F94:$AD94)*CWD!$D$30:$D$54*(CAA!$D$49:$D$73=CAA!D$33)))/(SUMPRODUCT((TRANSPOSE(Distances!$F7:$AD7)&lt;&gt;0)*CWD!$C$30:$C$54*($D$49:$D$73=D$33))+SUMPRODUCT((TRANSPOSE(Distances!$F7:$AD7)&lt;&gt;0)*TRANSPOSE(Distances!$F94:$AD94)*CWD!$D$30:$D$54*($D$49:$D$73=D$33)))</f>
        <v>229.81587455256815</v>
      </c>
      <c r="I37" s="3">
        <f>'Inputs Volumes &amp; Flows'!F60/1000</f>
        <v>0</v>
      </c>
      <c r="J37" s="3">
        <f t="shared" si="0"/>
        <v>0</v>
      </c>
      <c r="K37" s="3">
        <f t="shared" si="1"/>
        <v>0</v>
      </c>
    </row>
    <row r="38" spans="1:11" x14ac:dyDescent="0.25">
      <c r="A38" s="15"/>
      <c r="B38" t="s">
        <v>30</v>
      </c>
      <c r="C38" s="3">
        <f>SUM(CWD!C19:D19)-D38</f>
        <v>0</v>
      </c>
      <c r="D38" s="3" cm="1">
        <f t="array" ref="D38">SUM(CWD!C19:D19)/SUM(CWD!$C$15:$D$24)*SUMPRODUCT(CWD!$C$30:$D$54*($D$49:$D$73=$D$33))</f>
        <v>0</v>
      </c>
      <c r="E38" s="122">
        <f>IFERROR(SUMPRODUCT(CWD!C19:D19,CWD!Q19:R19)/SUM(CWD!C19:D19),0)</f>
        <v>0</v>
      </c>
      <c r="F38" s="16" cm="1">
        <f t="array" ref="F38">(SUMPRODUCT(TRANSPOSE(Distances!$F8:$AD8)*CWD!$C$30:$C$54*(CAA!$D$49:$D$73=CAA!C$33))+SUMPRODUCT(TRANSPOSE(Distances!$F8:$AD8)*TRANSPOSE(Distances!$F95:$AD95)*CWD!$D$30:$D$54*(CAA!$D$49:$D$73=CAA!C$33)))/(SUMPRODUCT((TRANSPOSE(Distances!$F8:$AD8)&lt;&gt;0)*CWD!$C$30:$C$54*($D$49:$D$73=C$33))+SUMPRODUCT((TRANSPOSE(Distances!$F8:$AD8)&lt;&gt;0)*TRANSPOSE(Distances!$F95:$AD95)*CWD!$D$30:$D$54*($D$49:$D$73=C$33)))</f>
        <v>65.079206759304896</v>
      </c>
      <c r="G38" s="16" cm="1">
        <f t="array" ref="G38">(SUMPRODUCT(TRANSPOSE(Distances!$F8:$AD8)*CWD!$C$30:$C$54*(CAA!$D$49:$D$73=CAA!D$33))+SUMPRODUCT(TRANSPOSE(Distances!$F8:$AD8)*TRANSPOSE(Distances!$F95:$AD95)*CWD!$D$30:$D$54*(CAA!$D$49:$D$73=CAA!D$33)))/(SUMPRODUCT((TRANSPOSE(Distances!$F8:$AD8)&lt;&gt;0)*CWD!$C$30:$C$54*($D$49:$D$73=D$33))+SUMPRODUCT((TRANSPOSE(Distances!$F8:$AD8)&lt;&gt;0)*TRANSPOSE(Distances!$F95:$AD95)*CWD!$D$30:$D$54*($D$49:$D$73=D$33)))</f>
        <v>187.40139174839962</v>
      </c>
      <c r="I38" s="3">
        <f>'Inputs Volumes &amp; Flows'!F61/1000</f>
        <v>0</v>
      </c>
      <c r="J38" s="3">
        <f t="shared" si="0"/>
        <v>0</v>
      </c>
      <c r="K38" s="3">
        <f t="shared" si="1"/>
        <v>0</v>
      </c>
    </row>
    <row r="39" spans="1:11" x14ac:dyDescent="0.25">
      <c r="A39" s="15"/>
      <c r="B39" t="s">
        <v>29</v>
      </c>
      <c r="C39" s="3">
        <f>SUM(CWD!C20:D20)-D39</f>
        <v>0</v>
      </c>
      <c r="D39" s="3" cm="1">
        <f t="array" ref="D39">SUM(CWD!C20:D20)/SUM(CWD!$C$15:$D$24)*SUMPRODUCT(CWD!$C$30:$D$54*($D$49:$D$73=$D$33))</f>
        <v>0</v>
      </c>
      <c r="E39" s="122">
        <f>IFERROR(SUMPRODUCT(CWD!C20:D20,CWD!Q20:R20)/SUM(CWD!C20:D20),0)</f>
        <v>0</v>
      </c>
      <c r="F39" s="16" cm="1">
        <f t="array" ref="F39">(SUMPRODUCT(TRANSPOSE(Distances!$F9:$AD9)*CWD!$C$30:$C$54*(CAA!$D$49:$D$73=CAA!C$33))+SUMPRODUCT(TRANSPOSE(Distances!$F9:$AD9)*TRANSPOSE(Distances!$F96:$AD96)*CWD!$D$30:$D$54*(CAA!$D$49:$D$73=CAA!C$33)))/(SUMPRODUCT((TRANSPOSE(Distances!$F9:$AD9)&lt;&gt;0)*CWD!$C$30:$C$54*($D$49:$D$73=C$33))+SUMPRODUCT((TRANSPOSE(Distances!$F9:$AD9)&lt;&gt;0)*TRANSPOSE(Distances!$F96:$AD96)*CWD!$D$30:$D$54*($D$49:$D$73=C$33)))</f>
        <v>213.91063108073556</v>
      </c>
      <c r="G39" s="16" cm="1">
        <f t="array" ref="G39">(SUMPRODUCT(TRANSPOSE(Distances!$F9:$AD9)*CWD!$C$30:$C$54*(CAA!$D$49:$D$73=CAA!D$33))+SUMPRODUCT(TRANSPOSE(Distances!$F9:$AD9)*TRANSPOSE(Distances!$F96:$AD96)*CWD!$D$30:$D$54*(CAA!$D$49:$D$73=CAA!D$33)))/(SUMPRODUCT((TRANSPOSE(Distances!$F9:$AD9)&lt;&gt;0)*CWD!$C$30:$C$54*($D$49:$D$73=D$33))+SUMPRODUCT((TRANSPOSE(Distances!$F9:$AD9)&lt;&gt;0)*TRANSPOSE(Distances!$F96:$AD96)*CWD!$D$30:$D$54*($D$49:$D$73=D$33)))</f>
        <v>317.96755290576624</v>
      </c>
      <c r="I39" s="3">
        <f>'Inputs Volumes &amp; Flows'!F62/1000</f>
        <v>0</v>
      </c>
      <c r="J39" s="3">
        <f t="shared" si="0"/>
        <v>0</v>
      </c>
      <c r="K39" s="3">
        <f t="shared" si="1"/>
        <v>0</v>
      </c>
    </row>
    <row r="40" spans="1:11" x14ac:dyDescent="0.25">
      <c r="A40" s="15"/>
      <c r="B40" t="s">
        <v>18</v>
      </c>
      <c r="C40" s="3">
        <f>SUM(CWD!C21:D21)-D40</f>
        <v>2782548.3873224538</v>
      </c>
      <c r="D40" s="3" cm="1">
        <f t="array" ref="D40">SUM(CWD!C21:D21)/SUM(CWD!$C$15:$D$24)*SUMPRODUCT(CWD!$C$30:$D$54*($D$49:$D$73=$D$33))</f>
        <v>6919825.4185378458</v>
      </c>
      <c r="E40" s="122">
        <f>IFERROR(SUMPRODUCT(CWD!C21:D21,CWD!Q21:R21)/SUM(CWD!C21:D21),0)</f>
        <v>4.1579697510859761</v>
      </c>
      <c r="F40" s="16" cm="1">
        <f t="array" ref="F40">(SUMPRODUCT(TRANSPOSE(Distances!$F10:$AD10)*CWD!$C$30:$C$54*(CAA!$D$49:$D$73=CAA!C$33))+SUMPRODUCT(TRANSPOSE(Distances!$F10:$AD10)*TRANSPOSE(Distances!$F97:$AD97)*CWD!$D$30:$D$54*(CAA!$D$49:$D$73=CAA!C$33)))/(SUMPRODUCT((TRANSPOSE(Distances!$F10:$AD10)&lt;&gt;0)*CWD!$C$30:$C$54*($D$49:$D$73=C$33))+SUMPRODUCT((TRANSPOSE(Distances!$F10:$AD10)&lt;&gt;0)*TRANSPOSE(Distances!$F97:$AD97)*CWD!$D$30:$D$54*($D$49:$D$73=C$33)))</f>
        <v>352.5994149890044</v>
      </c>
      <c r="G40" s="16" cm="1">
        <f t="array" ref="G40">(SUMPRODUCT(TRANSPOSE(Distances!$F10:$AD10)*CWD!$C$30:$C$54*(CAA!$D$49:$D$73=CAA!D$33))+SUMPRODUCT(TRANSPOSE(Distances!$F10:$AD10)*TRANSPOSE(Distances!$F97:$AD97)*CWD!$D$30:$D$54*(CAA!$D$49:$D$73=CAA!D$33)))/(SUMPRODUCT((TRANSPOSE(Distances!$F10:$AD10)&lt;&gt;0)*CWD!$C$30:$C$54*($D$49:$D$73=D$33))+SUMPRODUCT((TRANSPOSE(Distances!$F10:$AD10)&lt;&gt;0)*TRANSPOSE(Distances!$F97:$AD97)*CWD!$D$30:$D$54*($D$49:$D$73=D$33)))</f>
        <v>490.65860075208866</v>
      </c>
      <c r="I40" s="3">
        <f>'Inputs Volumes &amp; Flows'!F77/1000</f>
        <v>56898421.143605694</v>
      </c>
      <c r="J40" s="3">
        <f t="shared" si="0"/>
        <v>26883672.760564458</v>
      </c>
      <c r="K40" s="3">
        <f t="shared" si="1"/>
        <v>30014748.383041237</v>
      </c>
    </row>
    <row r="41" spans="1:11" x14ac:dyDescent="0.25">
      <c r="A41" s="15"/>
      <c r="B41" t="s">
        <v>51</v>
      </c>
      <c r="C41" s="3">
        <f>SUM(CWD!C22:D22)-D41</f>
        <v>0</v>
      </c>
      <c r="D41" s="3" cm="1">
        <f t="array" ref="D41">SUM(CWD!C22:D22)/SUM(CWD!$C$15:$D$24)*SUMPRODUCT(CWD!$C$30:$D$54*($D$49:$D$73=$D$33))</f>
        <v>0</v>
      </c>
      <c r="E41" s="122">
        <f>IFERROR(SUMPRODUCT(CWD!C22:D22,CWD!Q22:R22)/SUM(CWD!C22:D22),0)</f>
        <v>0</v>
      </c>
      <c r="F41" s="16" cm="1">
        <f t="array" ref="F41">(SUMPRODUCT(TRANSPOSE(Distances!$F11:$AD11)*CWD!$C$30:$C$54*(CAA!$D$49:$D$73=CAA!C$33))+SUMPRODUCT(TRANSPOSE(Distances!$F11:$AD11)*TRANSPOSE(Distances!$F98:$AD98)*CWD!$D$30:$D$54*(CAA!$D$49:$D$73=CAA!C$33)))/(SUMPRODUCT((TRANSPOSE(Distances!$F11:$AD11)&lt;&gt;0)*CWD!$C$30:$C$54*($D$49:$D$73=C$33))+SUMPRODUCT((TRANSPOSE(Distances!$F11:$AD11)&lt;&gt;0)*TRANSPOSE(Distances!$F98:$AD98)*CWD!$D$30:$D$54*($D$49:$D$73=C$33)))</f>
        <v>363.07920675930501</v>
      </c>
      <c r="G41" s="16" cm="1">
        <f t="array" ref="G41">(SUMPRODUCT(TRANSPOSE(Distances!$F11:$AD11)*CWD!$C$30:$C$54*(CAA!$D$49:$D$73=CAA!D$33))+SUMPRODUCT(TRANSPOSE(Distances!$F11:$AD11)*TRANSPOSE(Distances!$F98:$AD98)*CWD!$D$30:$D$54*(CAA!$D$49:$D$73=CAA!D$33)))/(SUMPRODUCT((TRANSPOSE(Distances!$F11:$AD11)&lt;&gt;0)*CWD!$C$30:$C$54*($D$49:$D$73=D$33))+SUMPRODUCT((TRANSPOSE(Distances!$F11:$AD11)&lt;&gt;0)*TRANSPOSE(Distances!$F98:$AD98)*CWD!$D$30:$D$54*($D$49:$D$73=D$33)))</f>
        <v>323.13669954027409</v>
      </c>
      <c r="I41" s="124"/>
      <c r="J41" s="124"/>
      <c r="K41" s="124"/>
    </row>
    <row r="42" spans="1:11" x14ac:dyDescent="0.25">
      <c r="A42" s="15"/>
      <c r="B42" t="s">
        <v>23</v>
      </c>
      <c r="C42" s="3">
        <f>SUM(CWD!C23:D23)-D42</f>
        <v>2487308.3409341024</v>
      </c>
      <c r="D42" s="3" cm="1">
        <f t="array" ref="D42">SUM(CWD!C23:D23)/SUM(CWD!$C$15:$D$24)*SUMPRODUCT(CWD!$C$30:$D$54*($D$49:$D$73=$D$33))</f>
        <v>6185602.9385707239</v>
      </c>
      <c r="E42" s="122">
        <f>IFERROR(SUMPRODUCT(CWD!C23:D23,CWD!Q23:R23)/SUM(CWD!C23:D23),0)</f>
        <v>0</v>
      </c>
      <c r="F42" s="16" cm="1">
        <f t="array" ref="F42">(SUMPRODUCT(TRANSPOSE(Distances!$F12:$AD12)*CWD!$C$30:$C$54*(CAA!$D$49:$D$73=CAA!C$33))+SUMPRODUCT(TRANSPOSE(Distances!$F12:$AD12)*TRANSPOSE(Distances!$F99:$AD99)*CWD!$D$30:$D$54*(CAA!$D$49:$D$73=CAA!C$33)))/(SUMPRODUCT((TRANSPOSE(Distances!$F12:$AD12)&lt;&gt;0)*CWD!$C$30:$C$54*($D$49:$D$73=C$33))+SUMPRODUCT((TRANSPOSE(Distances!$F12:$AD12)&lt;&gt;0)*TRANSPOSE(Distances!$F99:$AD99)*CWD!$D$30:$D$54*($D$49:$D$73=C$33)))</f>
        <v>31.079206759304896</v>
      </c>
      <c r="G42" s="16" cm="1">
        <f t="array" ref="G42">(SUMPRODUCT(TRANSPOSE(Distances!$F12:$AD12)*CWD!$C$30:$C$54*(CAA!$D$49:$D$73=CAA!D$33))+SUMPRODUCT(TRANSPOSE(Distances!$F12:$AD12)*TRANSPOSE(Distances!$F99:$AD99)*CWD!$D$30:$D$54*(CAA!$D$49:$D$73=CAA!D$33)))/(SUMPRODUCT((TRANSPOSE(Distances!$F12:$AD12)&lt;&gt;0)*CWD!$C$30:$C$54*($D$49:$D$73=D$33))+SUMPRODUCT((TRANSPOSE(Distances!$F12:$AD12)&lt;&gt;0)*TRANSPOSE(Distances!$F99:$AD99)*CWD!$D$30:$D$54*($D$49:$D$73=D$33)))</f>
        <v>202.30481410607135</v>
      </c>
      <c r="I42" s="125">
        <f>'Inputs Volumes &amp; Flows'!F71/1000</f>
        <v>14807971.364390548</v>
      </c>
      <c r="J42" s="125">
        <f>I42-K42</f>
        <v>6996550.1398244463</v>
      </c>
      <c r="K42" s="125">
        <f>I42/SUM($I$34:$I$43)*SUMIFS($I$49:$I$73,$D$49:$D$73,$K$33)</f>
        <v>7811421.224566102</v>
      </c>
    </row>
    <row r="43" spans="1:11" x14ac:dyDescent="0.25">
      <c r="A43" s="15"/>
      <c r="B43" t="s">
        <v>31</v>
      </c>
      <c r="C43" s="3">
        <f>SUM(CWD!C24:D24)-D43</f>
        <v>1155306.7473775675</v>
      </c>
      <c r="D43" s="3" cm="1">
        <f t="array" ref="D43">SUM(CWD!C24:D24)/SUM(CWD!$C$15:$D$24)*SUMPRODUCT(CWD!$C$30:$D$54*($D$49:$D$73=$D$33))</f>
        <v>2873093.2526224335</v>
      </c>
      <c r="E43" s="122">
        <f>IFERROR(SUMPRODUCT(CWD!C24:D24,CWD!Q24:R24)/SUM(CWD!C24:D24),0)</f>
        <v>0</v>
      </c>
      <c r="F43" s="16" cm="1">
        <f t="array" ref="F43">(SUMPRODUCT(TRANSPOSE(Distances!$F13:$AD13)*CWD!$C$30:$C$54*(CAA!$D$49:$D$73=CAA!C$33))+SUMPRODUCT(TRANSPOSE(Distances!$F13:$AD13)*TRANSPOSE(Distances!$F100:$AD100)*CWD!$D$30:$D$54*(CAA!$D$49:$D$73=CAA!C$33)))/(SUMPRODUCT((TRANSPOSE(Distances!$F13:$AD13)&lt;&gt;0)*CWD!$C$30:$C$54*($D$49:$D$73=C$33))+SUMPRODUCT((TRANSPOSE(Distances!$F13:$AD13)&lt;&gt;0)*TRANSPOSE(Distances!$F100:$AD100)*CWD!$D$30:$D$54*($D$49:$D$73=C$33)))</f>
        <v>53.037130885150255</v>
      </c>
      <c r="G43" s="16" cm="1">
        <f t="array" ref="G43">(SUMPRODUCT(TRANSPOSE(Distances!$F13:$AD13)*CWD!$C$30:$C$54*(CAA!$D$49:$D$73=CAA!D$33))+SUMPRODUCT(TRANSPOSE(Distances!$F13:$AD13)*TRANSPOSE(Distances!$F100:$AD100)*CWD!$D$30:$D$54*(CAA!$D$49:$D$73=CAA!D$33)))/(SUMPRODUCT((TRANSPOSE(Distances!$F13:$AD13)&lt;&gt;0)*CWD!$C$30:$C$54*($D$49:$D$73=D$33))+SUMPRODUCT((TRANSPOSE(Distances!$F13:$AD13)&lt;&gt;0)*TRANSPOSE(Distances!$F100:$AD100)*CWD!$D$30:$D$54*($D$49:$D$73=D$33)))</f>
        <v>169.47793661105504</v>
      </c>
      <c r="I43" s="3">
        <f>'Inputs Volumes &amp; Flows'!F70/1000</f>
        <v>1839918.1040000001</v>
      </c>
      <c r="J43" s="3">
        <f>I43-K43</f>
        <v>869334.42475201248</v>
      </c>
      <c r="K43" s="3">
        <f>I43/SUM($I$34:$I$43)*SUMIFS($I$49:$I$73,$D$49:$D$73,$K$33)</f>
        <v>970583.67924798757</v>
      </c>
    </row>
    <row r="44" spans="1:11" x14ac:dyDescent="0.25">
      <c r="A44" s="15"/>
      <c r="E44" s="8"/>
      <c r="F44" s="8"/>
      <c r="G44" s="8"/>
    </row>
    <row r="45" spans="1:11" x14ac:dyDescent="0.25">
      <c r="A45" s="26" t="s">
        <v>184</v>
      </c>
      <c r="B45" s="26"/>
      <c r="C45" s="26"/>
      <c r="D45" s="26"/>
      <c r="E45" s="118"/>
      <c r="F45" s="118"/>
      <c r="G45" s="118"/>
      <c r="H45" s="26"/>
      <c r="I45" s="26"/>
      <c r="J45" s="26"/>
      <c r="K45" s="26"/>
    </row>
    <row r="46" spans="1:11" x14ac:dyDescent="0.25">
      <c r="C46" s="121" t="s">
        <v>185</v>
      </c>
      <c r="D46" s="121"/>
      <c r="I46" s="121" t="s">
        <v>186</v>
      </c>
      <c r="J46" s="121"/>
    </row>
    <row r="47" spans="1:11" x14ac:dyDescent="0.25">
      <c r="A47" s="15"/>
      <c r="B47" s="2"/>
      <c r="C47" s="81" t="s">
        <v>133</v>
      </c>
      <c r="D47" s="81"/>
      <c r="E47" s="119"/>
      <c r="F47" s="119"/>
      <c r="G47" s="119"/>
      <c r="I47" s="81" t="s">
        <v>92</v>
      </c>
    </row>
    <row r="48" spans="1:11" ht="30" x14ac:dyDescent="0.25">
      <c r="A48" s="15"/>
      <c r="C48" s="6" t="s">
        <v>132</v>
      </c>
      <c r="D48" s="6" t="s">
        <v>25</v>
      </c>
      <c r="E48" s="120"/>
      <c r="F48" s="120"/>
      <c r="G48" s="120"/>
      <c r="I48" s="6" t="s">
        <v>148</v>
      </c>
    </row>
    <row r="49" spans="1:16" x14ac:dyDescent="0.25">
      <c r="A49" s="15"/>
      <c r="B49" t="s">
        <v>20</v>
      </c>
      <c r="C49" s="3">
        <f>SUM(CWD!C30:D30)*CWD!F30</f>
        <v>934753166.3493427</v>
      </c>
      <c r="D49" s="252" t="s">
        <v>53</v>
      </c>
      <c r="E49" s="8"/>
      <c r="F49" s="8"/>
      <c r="G49" s="8"/>
      <c r="I49" s="3">
        <f>'Inputs Volumes &amp; Flows'!F63/1000</f>
        <v>11190000</v>
      </c>
      <c r="J49" s="3"/>
    </row>
    <row r="50" spans="1:16" x14ac:dyDescent="0.25">
      <c r="A50" s="15"/>
      <c r="B50" t="s">
        <v>21</v>
      </c>
      <c r="C50" s="3">
        <f>SUM(CWD!C31:D31)*CWD!F31</f>
        <v>4032885572.114728</v>
      </c>
      <c r="D50" s="252" t="s">
        <v>53</v>
      </c>
      <c r="E50" s="8"/>
      <c r="F50" s="8"/>
      <c r="G50" s="8"/>
      <c r="I50" s="3">
        <f>'Inputs Volumes &amp; Flows'!F67/1000</f>
        <v>691039.41683228605</v>
      </c>
      <c r="J50" s="3"/>
    </row>
    <row r="51" spans="1:16" x14ac:dyDescent="0.25">
      <c r="A51" s="15"/>
      <c r="B51" t="s">
        <v>22</v>
      </c>
      <c r="C51" s="3">
        <f>SUM(CWD!C32:D32)*CWD!F32</f>
        <v>2373644649.3799028</v>
      </c>
      <c r="D51" s="252" t="s">
        <v>53</v>
      </c>
      <c r="E51" s="8"/>
      <c r="F51" s="8"/>
      <c r="G51" s="8"/>
      <c r="I51" s="3">
        <f>SUM('Inputs Volumes &amp; Flows'!F68:F69)/1000</f>
        <v>2652731.3170000003</v>
      </c>
      <c r="J51" s="3"/>
    </row>
    <row r="52" spans="1:16" x14ac:dyDescent="0.25">
      <c r="B52" t="s">
        <v>34</v>
      </c>
      <c r="C52" s="3">
        <f>SUM(CWD!C33:D33)*CWD!F33</f>
        <v>999377065.34230745</v>
      </c>
      <c r="D52" s="252" t="s">
        <v>53</v>
      </c>
      <c r="E52" s="8"/>
      <c r="F52" s="8"/>
      <c r="G52" s="8"/>
      <c r="I52" s="3">
        <f>'Inputs Volumes &amp; Flows'!F64/1000</f>
        <v>23499000.000000007</v>
      </c>
      <c r="J52" s="3"/>
    </row>
    <row r="53" spans="1:16" x14ac:dyDescent="0.25">
      <c r="B53" t="s">
        <v>30</v>
      </c>
      <c r="C53" s="3">
        <f>SUM(CWD!C34:D34)*CWD!F34</f>
        <v>0</v>
      </c>
      <c r="D53" s="252" t="s">
        <v>53</v>
      </c>
      <c r="E53" s="8"/>
      <c r="F53" s="8"/>
      <c r="G53" s="8"/>
      <c r="I53">
        <f>'Inputs Volumes &amp; Flows'!F65/1000</f>
        <v>0</v>
      </c>
    </row>
    <row r="54" spans="1:16" x14ac:dyDescent="0.25">
      <c r="B54" t="s">
        <v>29</v>
      </c>
      <c r="C54" s="3">
        <f>SUM(CWD!C35:D35)*CWD!F35</f>
        <v>180703916.34872234</v>
      </c>
      <c r="D54" s="252" t="s">
        <v>53</v>
      </c>
      <c r="E54" s="8"/>
      <c r="F54" s="8"/>
      <c r="G54" s="8"/>
      <c r="I54" s="3">
        <f>'Inputs Volumes &amp; Flows'!F66/1000</f>
        <v>6550835.1161917783</v>
      </c>
      <c r="J54" s="3"/>
    </row>
    <row r="55" spans="1:16" x14ac:dyDescent="0.25">
      <c r="B55" t="s">
        <v>18</v>
      </c>
      <c r="C55" s="3">
        <f>SUM(CWD!C36:D36)*CWD!F36</f>
        <v>3016108096.6570406</v>
      </c>
      <c r="D55" s="252" t="s">
        <v>53</v>
      </c>
      <c r="E55" s="8"/>
      <c r="F55" s="8"/>
      <c r="G55" s="8"/>
      <c r="I55" s="3">
        <f>'Inputs Volumes &amp; Flows'!F75/1000</f>
        <v>37122472.878033899</v>
      </c>
      <c r="J55" s="3"/>
    </row>
    <row r="56" spans="1:16" x14ac:dyDescent="0.25">
      <c r="B56" t="s">
        <v>51</v>
      </c>
      <c r="C56" s="3">
        <f>SUM(CWD!C37:D37)*CWD!F37</f>
        <v>0</v>
      </c>
      <c r="D56" s="252" t="s">
        <v>54</v>
      </c>
      <c r="E56" s="8"/>
      <c r="F56" s="8"/>
      <c r="G56" s="8"/>
      <c r="I56" s="124"/>
      <c r="J56" s="3"/>
      <c r="N56"/>
      <c r="O56"/>
      <c r="P56"/>
    </row>
    <row r="57" spans="1:16" x14ac:dyDescent="0.25">
      <c r="B57" t="s">
        <v>23</v>
      </c>
      <c r="C57" s="3">
        <f>SUM(CWD!C38:D38)*CWD!F38</f>
        <v>1043451025.3443999</v>
      </c>
      <c r="D57" s="252" t="s">
        <v>53</v>
      </c>
      <c r="E57" s="8"/>
      <c r="F57" s="8"/>
      <c r="G57" s="8"/>
      <c r="I57" s="125">
        <f>'Inputs Volumes &amp; Flows'!F73/1000</f>
        <v>28445975.851511769</v>
      </c>
      <c r="J57" s="3"/>
      <c r="N57"/>
      <c r="O57"/>
      <c r="P57"/>
    </row>
    <row r="58" spans="1:16" x14ac:dyDescent="0.25">
      <c r="B58" t="s">
        <v>35</v>
      </c>
      <c r="C58" s="3">
        <f>SUM(CWD!C39:D39)*CWD!F39</f>
        <v>630959373.03324664</v>
      </c>
      <c r="D58" s="252" t="s">
        <v>54</v>
      </c>
      <c r="E58" s="8"/>
      <c r="F58" s="8"/>
      <c r="G58" s="8"/>
      <c r="I58" s="124">
        <f>'Inputs Volumes &amp; Flows'!F72/1000</f>
        <v>70497000</v>
      </c>
      <c r="J58" s="3"/>
      <c r="N58"/>
      <c r="O58"/>
      <c r="P58"/>
    </row>
    <row r="59" spans="1:16" x14ac:dyDescent="0.25">
      <c r="B59" t="s">
        <v>36</v>
      </c>
      <c r="C59" s="3">
        <f>SUM(CWD!C40:D40)*CWD!F40</f>
        <v>0</v>
      </c>
      <c r="D59" s="252" t="s">
        <v>54</v>
      </c>
      <c r="E59" s="8"/>
      <c r="F59" s="8"/>
      <c r="G59" s="8"/>
      <c r="I59" s="126"/>
      <c r="J59" s="3"/>
      <c r="N59"/>
      <c r="O59"/>
      <c r="P59"/>
    </row>
    <row r="60" spans="1:16" x14ac:dyDescent="0.25">
      <c r="B60" t="s">
        <v>37</v>
      </c>
      <c r="C60" s="3">
        <f>SUM(CWD!C41:D41)*CWD!F41</f>
        <v>0</v>
      </c>
      <c r="D60" s="252" t="s">
        <v>54</v>
      </c>
      <c r="E60" s="8"/>
      <c r="F60" s="8"/>
      <c r="G60" s="8"/>
      <c r="I60" s="126"/>
      <c r="J60" s="3"/>
      <c r="N60"/>
      <c r="O60"/>
      <c r="P60"/>
    </row>
    <row r="61" spans="1:16" x14ac:dyDescent="0.25">
      <c r="B61" t="s">
        <v>38</v>
      </c>
      <c r="C61" s="3">
        <f>SUM(CWD!C42:D42)*CWD!F42</f>
        <v>0</v>
      </c>
      <c r="D61" s="252" t="s">
        <v>54</v>
      </c>
      <c r="E61" s="8"/>
      <c r="F61" s="8"/>
      <c r="G61" s="8"/>
      <c r="I61" s="126"/>
      <c r="J61" s="3"/>
      <c r="N61"/>
      <c r="O61"/>
      <c r="P61"/>
    </row>
    <row r="62" spans="1:16" x14ac:dyDescent="0.25">
      <c r="B62" t="s">
        <v>39</v>
      </c>
      <c r="C62" s="3">
        <f>SUM(CWD!C43:D43)*CWD!F43</f>
        <v>541907619.57054043</v>
      </c>
      <c r="D62" s="252" t="s">
        <v>54</v>
      </c>
      <c r="E62" s="8"/>
      <c r="F62" s="8"/>
      <c r="G62" s="8"/>
      <c r="I62" s="126"/>
      <c r="J62" s="3"/>
      <c r="N62"/>
      <c r="O62"/>
      <c r="P62"/>
    </row>
    <row r="63" spans="1:16" x14ac:dyDescent="0.25">
      <c r="B63" t="s">
        <v>40</v>
      </c>
      <c r="C63" s="3">
        <f>SUM(CWD!C44:D44)*CWD!F44</f>
        <v>0</v>
      </c>
      <c r="D63" s="252" t="s">
        <v>54</v>
      </c>
      <c r="E63" s="8"/>
      <c r="F63" s="8"/>
      <c r="G63" s="8"/>
      <c r="I63" s="126"/>
      <c r="J63" s="3"/>
      <c r="N63"/>
      <c r="O63"/>
      <c r="P63"/>
    </row>
    <row r="64" spans="1:16" x14ac:dyDescent="0.25">
      <c r="B64" t="s">
        <v>41</v>
      </c>
      <c r="C64" s="3">
        <f>SUM(CWD!C45:D45)*CWD!F45</f>
        <v>2500610065.9815221</v>
      </c>
      <c r="D64" s="252" t="s">
        <v>54</v>
      </c>
      <c r="E64" s="8"/>
      <c r="F64" s="8"/>
      <c r="G64" s="8"/>
      <c r="I64" s="125"/>
      <c r="J64" s="3"/>
      <c r="N64"/>
      <c r="O64"/>
      <c r="P64"/>
    </row>
    <row r="65" spans="2:16" x14ac:dyDescent="0.25">
      <c r="B65" t="s">
        <v>42</v>
      </c>
      <c r="C65" s="3">
        <f>SUM(CWD!C46:D46)*CWD!F46</f>
        <v>185489200.45886329</v>
      </c>
      <c r="D65" s="252" t="s">
        <v>54</v>
      </c>
      <c r="E65" s="8"/>
      <c r="F65" s="8"/>
      <c r="G65" s="8"/>
      <c r="I65" s="124">
        <f>'Inputs Volumes &amp; Flows'!F76/1000</f>
        <v>7935141.7039999999</v>
      </c>
      <c r="J65" s="3"/>
      <c r="N65"/>
      <c r="O65"/>
      <c r="P65"/>
    </row>
    <row r="66" spans="2:16" x14ac:dyDescent="0.25">
      <c r="B66" t="s">
        <v>43</v>
      </c>
      <c r="C66" s="3">
        <f>SUM(CWD!C47:D47)*CWD!F47</f>
        <v>35468204.084577225</v>
      </c>
      <c r="D66" s="252" t="s">
        <v>54</v>
      </c>
      <c r="E66" s="8"/>
      <c r="F66" s="8"/>
      <c r="G66" s="8"/>
      <c r="I66" s="126"/>
      <c r="J66" s="3"/>
      <c r="N66"/>
      <c r="O66"/>
      <c r="P66"/>
    </row>
    <row r="67" spans="2:16" x14ac:dyDescent="0.25">
      <c r="B67" t="s">
        <v>44</v>
      </c>
      <c r="C67" s="3">
        <f>SUM(CWD!C48:D48)*CWD!F48</f>
        <v>53716550.852254443</v>
      </c>
      <c r="D67" s="252" t="s">
        <v>54</v>
      </c>
      <c r="E67" s="8"/>
      <c r="F67" s="8"/>
      <c r="G67" s="8"/>
      <c r="I67" s="126"/>
      <c r="N67"/>
      <c r="O67"/>
      <c r="P67"/>
    </row>
    <row r="68" spans="2:16" x14ac:dyDescent="0.25">
      <c r="B68" t="s">
        <v>45</v>
      </c>
      <c r="C68" s="3">
        <f>SUM(CWD!C49:D49)*CWD!F49</f>
        <v>515181147.04240763</v>
      </c>
      <c r="D68" s="252" t="s">
        <v>54</v>
      </c>
      <c r="E68" s="8"/>
      <c r="F68" s="8"/>
      <c r="G68" s="8"/>
      <c r="I68" s="126"/>
      <c r="N68"/>
      <c r="O68"/>
      <c r="P68"/>
    </row>
    <row r="69" spans="2:16" x14ac:dyDescent="0.25">
      <c r="B69" t="s">
        <v>46</v>
      </c>
      <c r="C69" s="3">
        <f>SUM(CWD!C50:D50)*CWD!F50</f>
        <v>30737738.958350983</v>
      </c>
      <c r="D69" s="252" t="s">
        <v>54</v>
      </c>
      <c r="E69" s="8"/>
      <c r="F69" s="8"/>
      <c r="G69" s="8"/>
      <c r="I69" s="126"/>
    </row>
    <row r="70" spans="2:16" x14ac:dyDescent="0.25">
      <c r="B70" t="s">
        <v>47</v>
      </c>
      <c r="C70" s="3">
        <f>SUM(CWD!C51:D51)*CWD!F51</f>
        <v>16719630.172506735</v>
      </c>
      <c r="D70" s="252" t="s">
        <v>54</v>
      </c>
      <c r="E70" s="8"/>
      <c r="F70" s="8"/>
      <c r="G70" s="8"/>
      <c r="I70" s="126"/>
    </row>
    <row r="71" spans="2:16" x14ac:dyDescent="0.25">
      <c r="B71" t="s">
        <v>48</v>
      </c>
      <c r="C71" s="3">
        <f>SUM(CWD!C52:D52)*CWD!F52</f>
        <v>7144409.2565589063</v>
      </c>
      <c r="D71" s="252" t="s">
        <v>54</v>
      </c>
      <c r="E71" s="8"/>
      <c r="F71" s="8"/>
      <c r="G71" s="8"/>
      <c r="I71" s="126"/>
    </row>
    <row r="72" spans="2:16" x14ac:dyDescent="0.25">
      <c r="B72" t="s">
        <v>49</v>
      </c>
      <c r="C72" s="3">
        <f>SUM(CWD!C53:D53)*CWD!F53</f>
        <v>37229282.773657575</v>
      </c>
      <c r="D72" s="252" t="s">
        <v>54</v>
      </c>
      <c r="E72" s="8"/>
      <c r="F72" s="8"/>
      <c r="G72" s="8"/>
      <c r="I72" s="126"/>
    </row>
    <row r="73" spans="2:16" x14ac:dyDescent="0.25">
      <c r="B73" t="s">
        <v>50</v>
      </c>
      <c r="C73" s="3">
        <f>SUM(CWD!C54:D54)*CWD!F54</f>
        <v>104188129.20648997</v>
      </c>
      <c r="D73" s="252" t="s">
        <v>54</v>
      </c>
      <c r="E73" s="8"/>
      <c r="F73" s="8"/>
      <c r="G73" s="8"/>
      <c r="I73" s="125"/>
    </row>
  </sheetData>
  <conditionalFormatting sqref="C49:G73">
    <cfRule type="cellIs" dxfId="2" priority="2" operator="equal">
      <formula>0</formula>
    </cfRule>
  </conditionalFormatting>
  <conditionalFormatting sqref="E34:E43">
    <cfRule type="cellIs" dxfId="1" priority="3" operator="equal">
      <formula>0</formula>
    </cfRule>
  </conditionalFormatting>
  <conditionalFormatting sqref="I34">
    <cfRule type="cellIs" dxfId="0" priority="1" operator="equal">
      <formula>0</formula>
    </cfRule>
  </conditionalFormatting>
  <pageMargins left="0.7" right="0.7" top="0.78740157499999996" bottom="0.78740157499999996" header="0.3" footer="0.3"/>
  <ignoredErrors>
    <ignoredError sqref="I51 I3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51">
    <tabColor theme="4" tint="0.79998168889431442"/>
  </sheetPr>
  <dimension ref="A1:J153"/>
  <sheetViews>
    <sheetView showGridLines="0" zoomScaleNormal="100" workbookViewId="0">
      <selection activeCell="G24" sqref="G24"/>
    </sheetView>
  </sheetViews>
  <sheetFormatPr baseColWidth="10" defaultRowHeight="15" x14ac:dyDescent="0.25"/>
  <cols>
    <col min="1" max="1" width="3.28515625" customWidth="1"/>
    <col min="2" max="2" width="7.140625" customWidth="1"/>
    <col min="3" max="3" width="6.85546875" customWidth="1"/>
    <col min="4" max="4" width="6.7109375" customWidth="1"/>
    <col min="5" max="5" width="27" bestFit="1" customWidth="1"/>
    <col min="6" max="9" width="17" customWidth="1"/>
  </cols>
  <sheetData>
    <row r="1" spans="1:10" x14ac:dyDescent="0.25">
      <c r="A1" s="30" t="s">
        <v>188</v>
      </c>
    </row>
    <row r="2" spans="1:10" x14ac:dyDescent="0.25">
      <c r="F2" s="219" t="s">
        <v>131</v>
      </c>
      <c r="G2" s="219"/>
      <c r="H2" s="219"/>
      <c r="I2" s="219"/>
    </row>
    <row r="3" spans="1:10" x14ac:dyDescent="0.25">
      <c r="B3" s="4" t="s">
        <v>24</v>
      </c>
      <c r="C3" s="4" t="s">
        <v>65</v>
      </c>
      <c r="D3" s="4" t="s">
        <v>66</v>
      </c>
      <c r="E3" s="4" t="s">
        <v>67</v>
      </c>
      <c r="F3" s="4">
        <v>2025</v>
      </c>
      <c r="G3" s="233">
        <v>2026</v>
      </c>
      <c r="H3" s="233">
        <v>2027</v>
      </c>
      <c r="I3" s="233">
        <v>2028</v>
      </c>
    </row>
    <row r="4" spans="1:10" x14ac:dyDescent="0.25">
      <c r="A4" s="26" t="s">
        <v>95</v>
      </c>
      <c r="B4" s="26"/>
      <c r="C4" s="26"/>
      <c r="D4" s="26"/>
      <c r="E4" s="26"/>
      <c r="F4" s="90"/>
      <c r="G4" s="90"/>
      <c r="H4" s="90"/>
      <c r="I4" s="90"/>
    </row>
    <row r="5" spans="1:10" x14ac:dyDescent="0.25">
      <c r="B5" t="s">
        <v>0</v>
      </c>
      <c r="C5" t="s">
        <v>19</v>
      </c>
      <c r="D5" t="s">
        <v>27</v>
      </c>
      <c r="E5" t="s">
        <v>1</v>
      </c>
      <c r="F5" s="255">
        <v>16087777.273133563</v>
      </c>
      <c r="G5" s="234">
        <v>14419156.185462328</v>
      </c>
      <c r="H5" s="234">
        <v>12742925.193681506</v>
      </c>
      <c r="I5" s="234">
        <v>7864141.1936815064</v>
      </c>
      <c r="J5" s="30" t="s">
        <v>32</v>
      </c>
    </row>
    <row r="6" spans="1:10" x14ac:dyDescent="0.25">
      <c r="B6" t="s">
        <v>0</v>
      </c>
      <c r="C6" t="s">
        <v>19</v>
      </c>
      <c r="D6" t="s">
        <v>27</v>
      </c>
      <c r="E6" t="s">
        <v>2</v>
      </c>
      <c r="F6" s="255">
        <v>10987013.31882192</v>
      </c>
      <c r="G6" s="234">
        <v>13111877.887015983</v>
      </c>
      <c r="H6" s="234">
        <v>14062692.77161644</v>
      </c>
      <c r="I6" s="234">
        <v>14029620.949543379</v>
      </c>
      <c r="J6" s="30" t="s">
        <v>32</v>
      </c>
    </row>
    <row r="7" spans="1:10" x14ac:dyDescent="0.25">
      <c r="B7" t="s">
        <v>0</v>
      </c>
      <c r="C7" t="s">
        <v>19</v>
      </c>
      <c r="D7" t="s">
        <v>27</v>
      </c>
      <c r="E7" t="s">
        <v>3</v>
      </c>
      <c r="F7" s="255">
        <v>2230891.0150684929</v>
      </c>
      <c r="G7" s="234">
        <v>2610953.8150684927</v>
      </c>
      <c r="H7" s="234">
        <v>2610953.8150684927</v>
      </c>
      <c r="I7" s="234">
        <v>2610953.8150684927</v>
      </c>
      <c r="J7" s="30" t="s">
        <v>32</v>
      </c>
    </row>
    <row r="8" spans="1:10" x14ac:dyDescent="0.25">
      <c r="B8" s="7" t="s">
        <v>0</v>
      </c>
      <c r="C8" s="7" t="s">
        <v>19</v>
      </c>
      <c r="D8" s="7" t="s">
        <v>27</v>
      </c>
      <c r="E8" s="7" t="s">
        <v>4</v>
      </c>
      <c r="F8" s="255">
        <v>0</v>
      </c>
      <c r="G8" s="234">
        <v>0</v>
      </c>
      <c r="H8" s="234">
        <v>0</v>
      </c>
      <c r="I8" s="234">
        <v>0</v>
      </c>
      <c r="J8" s="30" t="s">
        <v>32</v>
      </c>
    </row>
    <row r="9" spans="1:10" x14ac:dyDescent="0.25">
      <c r="B9" s="7" t="s">
        <v>0</v>
      </c>
      <c r="C9" s="7" t="s">
        <v>19</v>
      </c>
      <c r="D9" s="7" t="s">
        <v>27</v>
      </c>
      <c r="E9" s="7" t="s">
        <v>6</v>
      </c>
      <c r="F9" s="255">
        <v>0</v>
      </c>
      <c r="G9" s="234">
        <v>0</v>
      </c>
      <c r="H9" s="234">
        <v>0</v>
      </c>
      <c r="I9" s="234">
        <v>0</v>
      </c>
      <c r="J9" s="30" t="s">
        <v>32</v>
      </c>
    </row>
    <row r="10" spans="1:10" x14ac:dyDescent="0.25">
      <c r="B10" s="7" t="s">
        <v>0</v>
      </c>
      <c r="C10" s="7" t="s">
        <v>19</v>
      </c>
      <c r="D10" s="7" t="s">
        <v>27</v>
      </c>
      <c r="E10" s="7" t="s">
        <v>5</v>
      </c>
      <c r="F10" s="255">
        <v>0</v>
      </c>
      <c r="G10" s="234">
        <v>0</v>
      </c>
      <c r="H10" s="234">
        <v>0</v>
      </c>
      <c r="I10" s="234">
        <v>0</v>
      </c>
      <c r="J10" s="30" t="s">
        <v>32</v>
      </c>
    </row>
    <row r="11" spans="1:10" x14ac:dyDescent="0.25">
      <c r="B11" t="s">
        <v>0</v>
      </c>
      <c r="C11" t="s">
        <v>19</v>
      </c>
      <c r="D11" t="s">
        <v>27</v>
      </c>
      <c r="E11" t="s">
        <v>56</v>
      </c>
      <c r="F11" s="255">
        <v>4028400.0000000009</v>
      </c>
      <c r="G11" s="234">
        <v>4028400.0000000009</v>
      </c>
      <c r="H11" s="234">
        <v>4028400.0000000009</v>
      </c>
      <c r="I11" s="234">
        <v>4028400.0000000009</v>
      </c>
      <c r="J11" s="30" t="s">
        <v>32</v>
      </c>
    </row>
    <row r="12" spans="1:10" x14ac:dyDescent="0.25">
      <c r="B12" t="s">
        <v>0</v>
      </c>
      <c r="C12" s="1" t="s">
        <v>26</v>
      </c>
      <c r="D12" t="s">
        <v>27</v>
      </c>
      <c r="E12" t="s">
        <v>7</v>
      </c>
      <c r="F12" s="255">
        <v>4599480.7206585268</v>
      </c>
      <c r="G12" s="234">
        <v>2947157.5041216607</v>
      </c>
      <c r="H12" s="234">
        <v>2947157.5041216607</v>
      </c>
      <c r="I12" s="234">
        <v>2161435.5770734036</v>
      </c>
      <c r="J12" s="30" t="s">
        <v>32</v>
      </c>
    </row>
    <row r="13" spans="1:10" x14ac:dyDescent="0.25">
      <c r="B13" t="s">
        <v>0</v>
      </c>
      <c r="C13" s="1" t="s">
        <v>26</v>
      </c>
      <c r="D13" t="s">
        <v>27</v>
      </c>
      <c r="E13" t="s">
        <v>8</v>
      </c>
      <c r="F13" s="255">
        <v>13795957.000000002</v>
      </c>
      <c r="G13" s="234">
        <v>12127335.912328767</v>
      </c>
      <c r="H13" s="234">
        <v>10451104.920547945</v>
      </c>
      <c r="I13" s="234">
        <v>5572320.9205479454</v>
      </c>
      <c r="J13" s="30" t="s">
        <v>32</v>
      </c>
    </row>
    <row r="14" spans="1:10" x14ac:dyDescent="0.25">
      <c r="B14" t="s">
        <v>0</v>
      </c>
      <c r="C14" s="1" t="s">
        <v>26</v>
      </c>
      <c r="D14" t="s">
        <v>27</v>
      </c>
      <c r="E14" t="s">
        <v>12</v>
      </c>
      <c r="F14" s="255">
        <v>324117.03253424657</v>
      </c>
      <c r="G14" s="234">
        <v>324117.03253424657</v>
      </c>
      <c r="H14" s="234">
        <v>324117.03253424657</v>
      </c>
      <c r="I14" s="234">
        <v>364631.66160102736</v>
      </c>
      <c r="J14" s="30" t="s">
        <v>32</v>
      </c>
    </row>
    <row r="15" spans="1:10" x14ac:dyDescent="0.25">
      <c r="B15" t="s">
        <v>0</v>
      </c>
      <c r="C15" s="1" t="s">
        <v>26</v>
      </c>
      <c r="D15" t="s">
        <v>27</v>
      </c>
      <c r="E15" t="s">
        <v>10</v>
      </c>
      <c r="F15" s="255">
        <v>6142391.6287736297</v>
      </c>
      <c r="G15" s="234">
        <v>4398469.8397325343</v>
      </c>
      <c r="H15" s="234">
        <v>4398469.8397325343</v>
      </c>
      <c r="I15" s="234">
        <v>4406869.1641836502</v>
      </c>
      <c r="J15" s="30" t="s">
        <v>32</v>
      </c>
    </row>
    <row r="16" spans="1:10" x14ac:dyDescent="0.25">
      <c r="B16" t="s">
        <v>0</v>
      </c>
      <c r="C16" s="1" t="s">
        <v>26</v>
      </c>
      <c r="D16" t="s">
        <v>27</v>
      </c>
      <c r="E16" t="s">
        <v>55</v>
      </c>
      <c r="F16" s="255">
        <v>0</v>
      </c>
      <c r="G16" s="234">
        <v>0</v>
      </c>
      <c r="H16" s="234">
        <v>0</v>
      </c>
      <c r="I16" s="234">
        <v>0</v>
      </c>
      <c r="J16" s="30" t="s">
        <v>32</v>
      </c>
    </row>
    <row r="17" spans="2:10" x14ac:dyDescent="0.25">
      <c r="B17" t="s">
        <v>0</v>
      </c>
      <c r="C17" s="1" t="s">
        <v>26</v>
      </c>
      <c r="D17" t="s">
        <v>27</v>
      </c>
      <c r="E17" t="s">
        <v>9</v>
      </c>
      <c r="F17" s="255">
        <v>638698.63013698626</v>
      </c>
      <c r="G17" s="234">
        <v>638698.63013698626</v>
      </c>
      <c r="H17" s="234">
        <v>638698.63013698626</v>
      </c>
      <c r="I17" s="234">
        <v>640448.48939763557</v>
      </c>
      <c r="J17" s="30" t="s">
        <v>32</v>
      </c>
    </row>
    <row r="18" spans="2:10" x14ac:dyDescent="0.25">
      <c r="B18" t="s">
        <v>0</v>
      </c>
      <c r="C18" s="1" t="s">
        <v>26</v>
      </c>
      <c r="D18" t="s">
        <v>27</v>
      </c>
      <c r="E18" t="s">
        <v>11</v>
      </c>
      <c r="F18" s="255">
        <v>21422795</v>
      </c>
      <c r="G18" s="234">
        <v>21422795</v>
      </c>
      <c r="H18" s="234">
        <v>21422795</v>
      </c>
      <c r="I18" s="234">
        <v>21481487.589041095</v>
      </c>
      <c r="J18" s="30" t="s">
        <v>32</v>
      </c>
    </row>
    <row r="19" spans="2:10" x14ac:dyDescent="0.25">
      <c r="B19" t="s">
        <v>0</v>
      </c>
      <c r="C19" t="s">
        <v>19</v>
      </c>
      <c r="D19" s="1" t="s">
        <v>28</v>
      </c>
      <c r="E19" t="s">
        <v>57</v>
      </c>
      <c r="F19" s="255">
        <v>3357000</v>
      </c>
      <c r="G19" s="234">
        <v>3357000</v>
      </c>
      <c r="H19" s="234">
        <v>2510852.0547945206</v>
      </c>
      <c r="I19" s="234">
        <v>0</v>
      </c>
      <c r="J19" s="30" t="s">
        <v>32</v>
      </c>
    </row>
    <row r="20" spans="2:10" x14ac:dyDescent="0.25">
      <c r="B20" t="s">
        <v>0</v>
      </c>
      <c r="C20" s="1" t="s">
        <v>26</v>
      </c>
      <c r="D20" s="1" t="s">
        <v>28</v>
      </c>
      <c r="E20" t="s">
        <v>60</v>
      </c>
      <c r="F20" s="255">
        <v>6431372.0000000019</v>
      </c>
      <c r="G20" s="234">
        <v>6233937.4794520568</v>
      </c>
      <c r="H20" s="234">
        <v>4224448.3726027403</v>
      </c>
      <c r="I20" s="234">
        <v>0</v>
      </c>
      <c r="J20" s="30" t="s">
        <v>32</v>
      </c>
    </row>
    <row r="21" spans="2:10" x14ac:dyDescent="0.25">
      <c r="B21" t="s">
        <v>0</v>
      </c>
      <c r="C21" s="1" t="s">
        <v>26</v>
      </c>
      <c r="D21" s="1" t="s">
        <v>28</v>
      </c>
      <c r="E21" t="s">
        <v>58</v>
      </c>
      <c r="F21" s="255">
        <v>4635629</v>
      </c>
      <c r="G21" s="234">
        <v>4635629</v>
      </c>
      <c r="H21" s="234">
        <v>4635629</v>
      </c>
      <c r="I21" s="234">
        <v>4648329.3534246581</v>
      </c>
      <c r="J21" s="30" t="s">
        <v>32</v>
      </c>
    </row>
    <row r="22" spans="2:10" x14ac:dyDescent="0.25">
      <c r="B22" t="s">
        <v>0</v>
      </c>
      <c r="C22" s="1" t="s">
        <v>26</v>
      </c>
      <c r="D22" s="1" t="s">
        <v>28</v>
      </c>
      <c r="E22" t="s">
        <v>59</v>
      </c>
      <c r="F22" s="255">
        <v>2378663</v>
      </c>
      <c r="G22" s="234">
        <v>2378663</v>
      </c>
      <c r="H22" s="234">
        <v>2378663</v>
      </c>
      <c r="I22" s="234">
        <v>2385179.8849315071</v>
      </c>
      <c r="J22" s="30" t="s">
        <v>32</v>
      </c>
    </row>
    <row r="23" spans="2:10" x14ac:dyDescent="0.25">
      <c r="B23" t="s">
        <v>0</v>
      </c>
      <c r="C23" t="s">
        <v>19</v>
      </c>
      <c r="D23" s="2" t="s">
        <v>68</v>
      </c>
      <c r="E23" t="s">
        <v>197</v>
      </c>
      <c r="F23" s="255">
        <v>0</v>
      </c>
      <c r="G23" s="234">
        <v>0</v>
      </c>
      <c r="H23" s="234">
        <v>0</v>
      </c>
      <c r="I23" s="234">
        <v>0</v>
      </c>
      <c r="J23" s="30" t="s">
        <v>32</v>
      </c>
    </row>
    <row r="24" spans="2:10" x14ac:dyDescent="0.25">
      <c r="B24" t="s">
        <v>0</v>
      </c>
      <c r="C24" t="s">
        <v>19</v>
      </c>
      <c r="D24" s="2" t="s">
        <v>68</v>
      </c>
      <c r="E24" t="s">
        <v>61</v>
      </c>
      <c r="F24" s="255">
        <v>8672911.2795048263</v>
      </c>
      <c r="G24" s="234">
        <v>8672911.2795048263</v>
      </c>
      <c r="H24" s="234">
        <v>8492421.9195457324</v>
      </c>
      <c r="I24" s="234">
        <v>7001105.7200351106</v>
      </c>
      <c r="J24" s="30" t="s">
        <v>32</v>
      </c>
    </row>
    <row r="25" spans="2:10" x14ac:dyDescent="0.25">
      <c r="B25" t="s">
        <v>0</v>
      </c>
      <c r="C25" s="1" t="s">
        <v>26</v>
      </c>
      <c r="D25" s="2" t="s">
        <v>68</v>
      </c>
      <c r="E25" t="s">
        <v>198</v>
      </c>
      <c r="F25" s="255">
        <v>0</v>
      </c>
      <c r="G25" s="234">
        <v>0</v>
      </c>
      <c r="H25" s="234">
        <v>0</v>
      </c>
      <c r="I25" s="234">
        <v>0</v>
      </c>
      <c r="J25" s="30" t="s">
        <v>32</v>
      </c>
    </row>
    <row r="26" spans="2:10" x14ac:dyDescent="0.25">
      <c r="B26" s="12" t="s">
        <v>0</v>
      </c>
      <c r="C26" s="13" t="s">
        <v>26</v>
      </c>
      <c r="D26" s="14" t="s">
        <v>68</v>
      </c>
      <c r="E26" s="12" t="s">
        <v>62</v>
      </c>
      <c r="F26" s="256">
        <v>7574726.750383094</v>
      </c>
      <c r="G26" s="235">
        <v>7574726.750383094</v>
      </c>
      <c r="H26" s="235">
        <v>7755216.1103421878</v>
      </c>
      <c r="I26" s="235">
        <v>9264695.112592537</v>
      </c>
      <c r="J26" s="30" t="s">
        <v>32</v>
      </c>
    </row>
    <row r="27" spans="2:10" x14ac:dyDescent="0.25">
      <c r="B27" s="1" t="s">
        <v>13</v>
      </c>
      <c r="C27" t="s">
        <v>19</v>
      </c>
      <c r="D27" t="s">
        <v>27</v>
      </c>
      <c r="E27" t="s">
        <v>1</v>
      </c>
      <c r="F27" s="255">
        <v>9697898.3789797593</v>
      </c>
      <c r="G27" s="234">
        <v>8239697</v>
      </c>
      <c r="H27" s="234">
        <v>8239697</v>
      </c>
      <c r="I27" s="234">
        <v>5859357</v>
      </c>
      <c r="J27" s="30" t="s">
        <v>32</v>
      </c>
    </row>
    <row r="28" spans="2:10" x14ac:dyDescent="0.25">
      <c r="B28" s="1" t="s">
        <v>13</v>
      </c>
      <c r="C28" t="s">
        <v>19</v>
      </c>
      <c r="D28" t="s">
        <v>27</v>
      </c>
      <c r="E28" t="s">
        <v>14</v>
      </c>
      <c r="F28" s="255">
        <v>9181042.8058602996</v>
      </c>
      <c r="G28" s="234">
        <v>9200120.9445516057</v>
      </c>
      <c r="H28" s="234">
        <v>8739777.9010476694</v>
      </c>
      <c r="I28" s="234">
        <v>11670480.154723935</v>
      </c>
      <c r="J28" s="30" t="s">
        <v>32</v>
      </c>
    </row>
    <row r="29" spans="2:10" x14ac:dyDescent="0.25">
      <c r="B29" s="1" t="s">
        <v>13</v>
      </c>
      <c r="C29" s="1" t="s">
        <v>26</v>
      </c>
      <c r="D29" t="s">
        <v>27</v>
      </c>
      <c r="E29" t="s">
        <v>15</v>
      </c>
      <c r="F29" s="255">
        <v>6683747</v>
      </c>
      <c r="G29" s="234">
        <v>6683747</v>
      </c>
      <c r="H29" s="234">
        <v>6683747</v>
      </c>
      <c r="I29" s="234">
        <v>5859357</v>
      </c>
      <c r="J29" s="30" t="s">
        <v>32</v>
      </c>
    </row>
    <row r="30" spans="2:10" x14ac:dyDescent="0.25">
      <c r="B30" s="1" t="s">
        <v>13</v>
      </c>
      <c r="C30" s="1" t="s">
        <v>26</v>
      </c>
      <c r="D30" t="s">
        <v>27</v>
      </c>
      <c r="E30" t="s">
        <v>11</v>
      </c>
      <c r="F30" s="255">
        <v>3562671.9999999963</v>
      </c>
      <c r="G30" s="234">
        <v>3562671.9999999963</v>
      </c>
      <c r="H30" s="234">
        <v>3562671.9999999963</v>
      </c>
      <c r="I30" s="234">
        <v>3562671.9999999963</v>
      </c>
      <c r="J30" s="30" t="s">
        <v>32</v>
      </c>
    </row>
    <row r="31" spans="2:10" x14ac:dyDescent="0.25">
      <c r="B31" s="1" t="s">
        <v>13</v>
      </c>
      <c r="C31" s="1" t="s">
        <v>26</v>
      </c>
      <c r="D31" t="s">
        <v>27</v>
      </c>
      <c r="E31" t="s">
        <v>63</v>
      </c>
      <c r="F31" s="255">
        <v>471870.99999999959</v>
      </c>
      <c r="G31" s="234">
        <v>471870.99999999959</v>
      </c>
      <c r="H31" s="234">
        <v>471870.99999999959</v>
      </c>
      <c r="I31" s="234">
        <v>471870.99999999959</v>
      </c>
      <c r="J31" s="30" t="s">
        <v>32</v>
      </c>
    </row>
    <row r="32" spans="2:10" x14ac:dyDescent="0.25">
      <c r="B32" s="13" t="s">
        <v>13</v>
      </c>
      <c r="C32" s="12" t="s">
        <v>19</v>
      </c>
      <c r="D32" s="13" t="s">
        <v>28</v>
      </c>
      <c r="E32" s="12" t="s">
        <v>69</v>
      </c>
      <c r="F32" s="256">
        <v>521331</v>
      </c>
      <c r="G32" s="235">
        <v>521331</v>
      </c>
      <c r="H32" s="235">
        <v>521331</v>
      </c>
      <c r="I32" s="235">
        <v>521331</v>
      </c>
      <c r="J32" s="30" t="s">
        <v>32</v>
      </c>
    </row>
    <row r="33" spans="2:10" x14ac:dyDescent="0.25">
      <c r="B33" s="8" t="s">
        <v>0</v>
      </c>
      <c r="C33" s="1" t="s">
        <v>26</v>
      </c>
      <c r="D33" t="s">
        <v>27</v>
      </c>
      <c r="E33" t="s">
        <v>35</v>
      </c>
      <c r="F33" s="255">
        <v>0</v>
      </c>
      <c r="G33" s="234">
        <v>0</v>
      </c>
      <c r="H33" s="234">
        <v>0</v>
      </c>
      <c r="I33" s="234">
        <v>0</v>
      </c>
      <c r="J33" s="30" t="s">
        <v>32</v>
      </c>
    </row>
    <row r="34" spans="2:10" x14ac:dyDescent="0.25">
      <c r="B34" s="8" t="s">
        <v>0</v>
      </c>
      <c r="C34" s="1" t="s">
        <v>26</v>
      </c>
      <c r="D34" s="2" t="s">
        <v>28</v>
      </c>
      <c r="E34" t="s">
        <v>35</v>
      </c>
      <c r="F34" s="255">
        <v>4635629</v>
      </c>
      <c r="G34" s="234">
        <v>4635629</v>
      </c>
      <c r="H34" s="234">
        <v>4635629</v>
      </c>
      <c r="I34" s="234">
        <v>4648329.3534246581</v>
      </c>
      <c r="J34" s="30" t="s">
        <v>32</v>
      </c>
    </row>
    <row r="35" spans="2:10" x14ac:dyDescent="0.25">
      <c r="B35" s="8" t="s">
        <v>0</v>
      </c>
      <c r="C35" s="1" t="s">
        <v>26</v>
      </c>
      <c r="D35" t="s">
        <v>27</v>
      </c>
      <c r="E35" t="s">
        <v>36</v>
      </c>
      <c r="F35" s="255">
        <v>0</v>
      </c>
      <c r="G35" s="234">
        <v>0</v>
      </c>
      <c r="H35" s="234">
        <v>0</v>
      </c>
      <c r="I35" s="234">
        <v>0</v>
      </c>
      <c r="J35" s="30" t="s">
        <v>32</v>
      </c>
    </row>
    <row r="36" spans="2:10" x14ac:dyDescent="0.25">
      <c r="B36" s="8" t="s">
        <v>0</v>
      </c>
      <c r="C36" s="1" t="s">
        <v>26</v>
      </c>
      <c r="D36" t="s">
        <v>27</v>
      </c>
      <c r="E36" t="s">
        <v>37</v>
      </c>
      <c r="F36" s="255">
        <v>0</v>
      </c>
      <c r="G36" s="234">
        <v>0</v>
      </c>
      <c r="H36" s="234">
        <v>0</v>
      </c>
      <c r="I36" s="234">
        <v>0</v>
      </c>
      <c r="J36" s="30" t="s">
        <v>32</v>
      </c>
    </row>
    <row r="37" spans="2:10" x14ac:dyDescent="0.25">
      <c r="B37" s="8" t="s">
        <v>0</v>
      </c>
      <c r="C37" s="1" t="s">
        <v>26</v>
      </c>
      <c r="D37" t="s">
        <v>27</v>
      </c>
      <c r="E37" t="s">
        <v>38</v>
      </c>
      <c r="F37" s="255">
        <v>0</v>
      </c>
      <c r="G37" s="234">
        <v>0</v>
      </c>
      <c r="H37" s="234">
        <v>0</v>
      </c>
      <c r="I37" s="234">
        <v>0</v>
      </c>
      <c r="J37" s="30" t="s">
        <v>32</v>
      </c>
    </row>
    <row r="38" spans="2:10" x14ac:dyDescent="0.25">
      <c r="B38" s="8" t="s">
        <v>0</v>
      </c>
      <c r="C38" s="1" t="s">
        <v>26</v>
      </c>
      <c r="D38" t="s">
        <v>27</v>
      </c>
      <c r="E38" t="s">
        <v>39</v>
      </c>
      <c r="F38" s="255">
        <v>0</v>
      </c>
      <c r="G38" s="234">
        <v>0</v>
      </c>
      <c r="H38" s="234">
        <v>0</v>
      </c>
      <c r="I38" s="234">
        <v>0</v>
      </c>
      <c r="J38" s="30" t="s">
        <v>32</v>
      </c>
    </row>
    <row r="39" spans="2:10" x14ac:dyDescent="0.25">
      <c r="B39" s="8" t="s">
        <v>0</v>
      </c>
      <c r="C39" s="1" t="s">
        <v>26</v>
      </c>
      <c r="D39" s="2" t="s">
        <v>28</v>
      </c>
      <c r="E39" t="s">
        <v>39</v>
      </c>
      <c r="F39" s="255">
        <v>2378663</v>
      </c>
      <c r="G39" s="234">
        <v>2378663</v>
      </c>
      <c r="H39" s="234">
        <v>2378663</v>
      </c>
      <c r="I39" s="234">
        <v>2385179.8849315071</v>
      </c>
      <c r="J39" s="30" t="s">
        <v>32</v>
      </c>
    </row>
    <row r="40" spans="2:10" x14ac:dyDescent="0.25">
      <c r="B40" s="8" t="s">
        <v>0</v>
      </c>
      <c r="C40" s="1" t="s">
        <v>26</v>
      </c>
      <c r="D40" t="s">
        <v>27</v>
      </c>
      <c r="E40" t="s">
        <v>40</v>
      </c>
      <c r="F40" s="255">
        <v>0</v>
      </c>
      <c r="G40" s="234">
        <v>0</v>
      </c>
      <c r="H40" s="234">
        <v>0</v>
      </c>
      <c r="I40" s="234">
        <v>0</v>
      </c>
      <c r="J40" s="30" t="s">
        <v>32</v>
      </c>
    </row>
    <row r="41" spans="2:10" x14ac:dyDescent="0.25">
      <c r="B41" s="17" t="s">
        <v>0</v>
      </c>
      <c r="C41" s="13" t="s">
        <v>26</v>
      </c>
      <c r="D41" s="12" t="s">
        <v>27</v>
      </c>
      <c r="E41" s="12" t="s">
        <v>41</v>
      </c>
      <c r="F41" s="256">
        <v>21422795</v>
      </c>
      <c r="G41" s="235">
        <v>21422795</v>
      </c>
      <c r="H41" s="235">
        <v>21422795</v>
      </c>
      <c r="I41" s="235">
        <v>21481487.589041095</v>
      </c>
      <c r="J41" s="30" t="s">
        <v>32</v>
      </c>
    </row>
    <row r="42" spans="2:10" x14ac:dyDescent="0.25">
      <c r="B42" s="1" t="s">
        <v>13</v>
      </c>
      <c r="C42" s="1" t="s">
        <v>26</v>
      </c>
      <c r="D42" t="s">
        <v>27</v>
      </c>
      <c r="E42" t="s">
        <v>42</v>
      </c>
      <c r="F42" s="255">
        <v>1111502.9999999988</v>
      </c>
      <c r="G42" s="234">
        <v>1111502.9999999988</v>
      </c>
      <c r="H42" s="234">
        <v>1111502.9999999988</v>
      </c>
      <c r="I42" s="234">
        <v>1111502.9999999988</v>
      </c>
      <c r="J42" s="30" t="s">
        <v>32</v>
      </c>
    </row>
    <row r="43" spans="2:10" x14ac:dyDescent="0.25">
      <c r="B43" s="1" t="s">
        <v>13</v>
      </c>
      <c r="C43" s="1" t="s">
        <v>26</v>
      </c>
      <c r="D43" t="s">
        <v>27</v>
      </c>
      <c r="E43" t="s">
        <v>43</v>
      </c>
      <c r="F43" s="255">
        <v>166730.99999999983</v>
      </c>
      <c r="G43" s="234">
        <v>166730.99999999983</v>
      </c>
      <c r="H43" s="234">
        <v>166730.99999999983</v>
      </c>
      <c r="I43" s="234">
        <v>166730.99999999983</v>
      </c>
      <c r="J43" s="30" t="s">
        <v>32</v>
      </c>
    </row>
    <row r="44" spans="2:10" x14ac:dyDescent="0.25">
      <c r="B44" s="1" t="s">
        <v>13</v>
      </c>
      <c r="C44" s="1" t="s">
        <v>26</v>
      </c>
      <c r="D44" t="s">
        <v>27</v>
      </c>
      <c r="E44" t="s">
        <v>44</v>
      </c>
      <c r="F44" s="255">
        <v>221438.99999999977</v>
      </c>
      <c r="G44" s="234">
        <v>221438.99999999977</v>
      </c>
      <c r="H44" s="234">
        <v>221438.99999999977</v>
      </c>
      <c r="I44" s="234">
        <v>221438.99999999977</v>
      </c>
      <c r="J44" s="30" t="s">
        <v>32</v>
      </c>
    </row>
    <row r="45" spans="2:10" x14ac:dyDescent="0.25">
      <c r="B45" s="1" t="s">
        <v>13</v>
      </c>
      <c r="C45" s="1" t="s">
        <v>26</v>
      </c>
      <c r="D45" t="s">
        <v>27</v>
      </c>
      <c r="E45" t="s">
        <v>45</v>
      </c>
      <c r="F45" s="255">
        <v>1952542.9999999979</v>
      </c>
      <c r="G45" s="234">
        <v>1952542.9999999979</v>
      </c>
      <c r="H45" s="234">
        <v>1952542.9999999979</v>
      </c>
      <c r="I45" s="234">
        <v>1952542.9999999979</v>
      </c>
      <c r="J45" s="30" t="s">
        <v>32</v>
      </c>
    </row>
    <row r="46" spans="2:10" x14ac:dyDescent="0.25">
      <c r="B46" s="1" t="s">
        <v>13</v>
      </c>
      <c r="C46" s="1" t="s">
        <v>26</v>
      </c>
      <c r="D46" t="s">
        <v>27</v>
      </c>
      <c r="E46" t="s">
        <v>46</v>
      </c>
      <c r="F46" s="255">
        <v>110455.99999999988</v>
      </c>
      <c r="G46" s="234">
        <v>110455.99999999988</v>
      </c>
      <c r="H46" s="234">
        <v>110455.99999999988</v>
      </c>
      <c r="I46" s="234">
        <v>110455.99999999988</v>
      </c>
      <c r="J46" s="30" t="s">
        <v>32</v>
      </c>
    </row>
    <row r="47" spans="2:10" x14ac:dyDescent="0.25">
      <c r="B47" s="1" t="s">
        <v>13</v>
      </c>
      <c r="C47" s="1" t="s">
        <v>26</v>
      </c>
      <c r="D47" t="s">
        <v>27</v>
      </c>
      <c r="E47" t="s">
        <v>47</v>
      </c>
      <c r="F47" s="255">
        <v>55222.999999999942</v>
      </c>
      <c r="G47" s="234">
        <v>55222.999999999942</v>
      </c>
      <c r="H47" s="234">
        <v>55222.999999999942</v>
      </c>
      <c r="I47" s="234">
        <v>55222.999999999942</v>
      </c>
      <c r="J47" s="30" t="s">
        <v>32</v>
      </c>
    </row>
    <row r="48" spans="2:10" x14ac:dyDescent="0.25">
      <c r="B48" s="1" t="s">
        <v>13</v>
      </c>
      <c r="C48" s="1" t="s">
        <v>26</v>
      </c>
      <c r="D48" t="s">
        <v>27</v>
      </c>
      <c r="E48" t="s">
        <v>48</v>
      </c>
      <c r="F48" s="255">
        <v>22021.999999999978</v>
      </c>
      <c r="G48" s="234">
        <v>22021.999999999978</v>
      </c>
      <c r="H48" s="234">
        <v>22021.999999999978</v>
      </c>
      <c r="I48" s="234">
        <v>22021.999999999978</v>
      </c>
      <c r="J48" s="30" t="s">
        <v>32</v>
      </c>
    </row>
    <row r="49" spans="1:10" x14ac:dyDescent="0.25">
      <c r="B49" s="1" t="s">
        <v>13</v>
      </c>
      <c r="C49" s="1" t="s">
        <v>26</v>
      </c>
      <c r="D49" t="s">
        <v>27</v>
      </c>
      <c r="E49" t="s">
        <v>49</v>
      </c>
      <c r="F49" s="255">
        <v>110086.9999999999</v>
      </c>
      <c r="G49" s="234">
        <v>110086.9999999999</v>
      </c>
      <c r="H49" s="234">
        <v>110086.9999999999</v>
      </c>
      <c r="I49" s="234">
        <v>110086.9999999999</v>
      </c>
      <c r="J49" s="30" t="s">
        <v>32</v>
      </c>
    </row>
    <row r="50" spans="1:10" x14ac:dyDescent="0.25">
      <c r="B50" s="13" t="s">
        <v>13</v>
      </c>
      <c r="C50" s="13" t="s">
        <v>26</v>
      </c>
      <c r="D50" s="12" t="s">
        <v>27</v>
      </c>
      <c r="E50" s="12" t="s">
        <v>50</v>
      </c>
      <c r="F50" s="256">
        <v>284538.99999999971</v>
      </c>
      <c r="G50" s="235">
        <v>284538.99999999971</v>
      </c>
      <c r="H50" s="235">
        <v>284538.99999999971</v>
      </c>
      <c r="I50" s="235">
        <v>284538.99999999971</v>
      </c>
      <c r="J50" s="30" t="s">
        <v>32</v>
      </c>
    </row>
    <row r="51" spans="1:10" x14ac:dyDescent="0.25">
      <c r="B51" s="8" t="s">
        <v>0</v>
      </c>
      <c r="C51" s="8" t="s">
        <v>19</v>
      </c>
      <c r="D51" t="s">
        <v>85</v>
      </c>
      <c r="E51" t="s">
        <v>86</v>
      </c>
      <c r="F51" s="255">
        <v>0</v>
      </c>
      <c r="G51" s="234">
        <v>0</v>
      </c>
      <c r="H51" s="234">
        <v>0</v>
      </c>
      <c r="I51" s="234">
        <v>0</v>
      </c>
      <c r="J51" s="30" t="s">
        <v>32</v>
      </c>
    </row>
    <row r="52" spans="1:10" x14ac:dyDescent="0.25">
      <c r="B52" s="17" t="s">
        <v>0</v>
      </c>
      <c r="C52" s="13" t="s">
        <v>26</v>
      </c>
      <c r="D52" s="12" t="s">
        <v>85</v>
      </c>
      <c r="E52" s="12" t="s">
        <v>86</v>
      </c>
      <c r="F52" s="256">
        <v>0</v>
      </c>
      <c r="G52" s="235">
        <v>0</v>
      </c>
      <c r="H52" s="235">
        <v>0</v>
      </c>
      <c r="I52" s="235">
        <v>0</v>
      </c>
      <c r="J52" s="30" t="s">
        <v>32</v>
      </c>
    </row>
    <row r="53" spans="1:10" x14ac:dyDescent="0.25">
      <c r="B53" s="1"/>
      <c r="C53" s="1"/>
      <c r="F53" s="89"/>
      <c r="G53" s="89"/>
      <c r="H53" s="89"/>
      <c r="I53" s="89"/>
    </row>
    <row r="54" spans="1:10" s="81" customFormat="1" x14ac:dyDescent="0.25">
      <c r="A54" s="26" t="s">
        <v>94</v>
      </c>
      <c r="B54" s="91"/>
      <c r="C54" s="91"/>
      <c r="D54" s="91"/>
      <c r="E54" s="91"/>
      <c r="F54" s="92"/>
      <c r="G54" s="92"/>
      <c r="H54" s="92"/>
      <c r="I54" s="92"/>
    </row>
    <row r="55" spans="1:10" x14ac:dyDescent="0.25">
      <c r="B55" s="8" t="s">
        <v>0</v>
      </c>
      <c r="C55" t="s">
        <v>19</v>
      </c>
      <c r="D55" t="s">
        <v>87</v>
      </c>
      <c r="E55" t="s">
        <v>79</v>
      </c>
      <c r="F55" s="255">
        <v>7873076702.999999</v>
      </c>
      <c r="G55" s="234">
        <v>7873076702.999999</v>
      </c>
      <c r="H55" s="234">
        <v>7873076702.999999</v>
      </c>
      <c r="I55" s="234">
        <v>7873076702.999999</v>
      </c>
      <c r="J55" s="30" t="s">
        <v>72</v>
      </c>
    </row>
    <row r="56" spans="1:10" x14ac:dyDescent="0.25">
      <c r="B56" s="8" t="s">
        <v>0</v>
      </c>
      <c r="C56" t="s">
        <v>19</v>
      </c>
      <c r="D56" t="s">
        <v>87</v>
      </c>
      <c r="E56" t="s">
        <v>80</v>
      </c>
      <c r="F56" s="255">
        <v>41209160334.014389</v>
      </c>
      <c r="G56" s="234">
        <v>41209160334.014389</v>
      </c>
      <c r="H56" s="234">
        <v>31546197054.014381</v>
      </c>
      <c r="I56" s="234">
        <v>2557298454.0143857</v>
      </c>
      <c r="J56" s="30" t="s">
        <v>72</v>
      </c>
    </row>
    <row r="57" spans="1:10" x14ac:dyDescent="0.25">
      <c r="B57" s="8" t="s">
        <v>0</v>
      </c>
      <c r="C57" t="s">
        <v>19</v>
      </c>
      <c r="D57" t="s">
        <v>87</v>
      </c>
      <c r="E57" t="s">
        <v>21</v>
      </c>
      <c r="F57" s="255">
        <v>56380240171.232864</v>
      </c>
      <c r="G57" s="234">
        <v>56380240171.232864</v>
      </c>
      <c r="H57" s="234">
        <v>56380240171.232864</v>
      </c>
      <c r="I57" s="234">
        <v>56380240171.232864</v>
      </c>
      <c r="J57" s="30" t="s">
        <v>72</v>
      </c>
    </row>
    <row r="58" spans="1:10" x14ac:dyDescent="0.25">
      <c r="B58" s="8" t="s">
        <v>0</v>
      </c>
      <c r="C58" t="s">
        <v>19</v>
      </c>
      <c r="D58" t="s">
        <v>87</v>
      </c>
      <c r="E58" t="s">
        <v>81</v>
      </c>
      <c r="F58" s="255">
        <v>0</v>
      </c>
      <c r="G58" s="234">
        <v>0</v>
      </c>
      <c r="H58" s="234">
        <v>0</v>
      </c>
      <c r="I58" s="234">
        <v>0</v>
      </c>
      <c r="J58" s="30" t="s">
        <v>72</v>
      </c>
    </row>
    <row r="59" spans="1:10" x14ac:dyDescent="0.25">
      <c r="B59" s="8" t="s">
        <v>0</v>
      </c>
      <c r="C59" t="s">
        <v>19</v>
      </c>
      <c r="D59" t="s">
        <v>87</v>
      </c>
      <c r="E59" t="s">
        <v>82</v>
      </c>
      <c r="F59" s="255">
        <v>19733489949.661652</v>
      </c>
      <c r="G59" s="234">
        <v>19733489949.661652</v>
      </c>
      <c r="H59" s="234">
        <v>19733489949.661652</v>
      </c>
      <c r="I59" s="234">
        <v>19733489949.661652</v>
      </c>
      <c r="J59" s="30" t="s">
        <v>72</v>
      </c>
    </row>
    <row r="60" spans="1:10" x14ac:dyDescent="0.25">
      <c r="B60" s="8" t="s">
        <v>0</v>
      </c>
      <c r="C60" t="s">
        <v>19</v>
      </c>
      <c r="D60" t="s">
        <v>87</v>
      </c>
      <c r="E60" t="s">
        <v>34</v>
      </c>
      <c r="F60" s="255">
        <v>0</v>
      </c>
      <c r="G60" s="234">
        <v>23499000000.000008</v>
      </c>
      <c r="H60" s="234">
        <v>23499000000.000008</v>
      </c>
      <c r="I60" s="234">
        <v>23499000000.000008</v>
      </c>
      <c r="J60" s="30" t="s">
        <v>72</v>
      </c>
    </row>
    <row r="61" spans="1:10" x14ac:dyDescent="0.25">
      <c r="B61" s="8" t="s">
        <v>0</v>
      </c>
      <c r="C61" t="s">
        <v>19</v>
      </c>
      <c r="D61" t="s">
        <v>87</v>
      </c>
      <c r="E61" t="s">
        <v>30</v>
      </c>
      <c r="F61" s="255">
        <v>0</v>
      </c>
      <c r="G61" s="234"/>
      <c r="H61" s="234"/>
      <c r="I61" s="234"/>
      <c r="J61" s="30" t="s">
        <v>72</v>
      </c>
    </row>
    <row r="62" spans="1:10" x14ac:dyDescent="0.25">
      <c r="B62" s="8" t="s">
        <v>0</v>
      </c>
      <c r="C62" t="s">
        <v>19</v>
      </c>
      <c r="D62" t="s">
        <v>87</v>
      </c>
      <c r="E62" t="s">
        <v>83</v>
      </c>
      <c r="F62" s="255">
        <v>0</v>
      </c>
      <c r="G62" s="234"/>
      <c r="H62" s="234"/>
      <c r="I62" s="234"/>
      <c r="J62" s="30" t="s">
        <v>72</v>
      </c>
    </row>
    <row r="63" spans="1:10" x14ac:dyDescent="0.25">
      <c r="B63" s="8" t="s">
        <v>0</v>
      </c>
      <c r="C63" s="1" t="s">
        <v>26</v>
      </c>
      <c r="D63" t="s">
        <v>87</v>
      </c>
      <c r="E63" t="s">
        <v>80</v>
      </c>
      <c r="F63" s="255">
        <v>11190000000</v>
      </c>
      <c r="G63" s="234">
        <v>11190000000</v>
      </c>
      <c r="H63" s="234">
        <v>11190000000</v>
      </c>
      <c r="I63" s="234">
        <v>11190000000</v>
      </c>
      <c r="J63" s="30" t="s">
        <v>72</v>
      </c>
    </row>
    <row r="64" spans="1:10" x14ac:dyDescent="0.25">
      <c r="B64" s="8" t="s">
        <v>0</v>
      </c>
      <c r="C64" s="1" t="s">
        <v>26</v>
      </c>
      <c r="D64" t="s">
        <v>87</v>
      </c>
      <c r="E64" t="s">
        <v>34</v>
      </c>
      <c r="F64" s="255">
        <v>23499000000.000008</v>
      </c>
      <c r="G64" s="234">
        <v>23499000000.000008</v>
      </c>
      <c r="H64" s="234">
        <v>23499000000.000008</v>
      </c>
      <c r="I64" s="234">
        <v>23499000000.000008</v>
      </c>
      <c r="J64" s="30" t="s">
        <v>72</v>
      </c>
    </row>
    <row r="65" spans="2:10" x14ac:dyDescent="0.25">
      <c r="B65" s="8" t="s">
        <v>0</v>
      </c>
      <c r="C65" s="1" t="s">
        <v>26</v>
      </c>
      <c r="D65" t="s">
        <v>87</v>
      </c>
      <c r="E65" t="s">
        <v>30</v>
      </c>
      <c r="F65" s="255">
        <v>0</v>
      </c>
      <c r="G65" s="234">
        <v>0</v>
      </c>
      <c r="H65" s="234">
        <v>0</v>
      </c>
      <c r="I65" s="234">
        <v>0</v>
      </c>
      <c r="J65" s="30" t="s">
        <v>72</v>
      </c>
    </row>
    <row r="66" spans="2:10" x14ac:dyDescent="0.25">
      <c r="B66" s="8" t="s">
        <v>0</v>
      </c>
      <c r="C66" s="1" t="s">
        <v>26</v>
      </c>
      <c r="D66" t="s">
        <v>87</v>
      </c>
      <c r="E66" t="s">
        <v>83</v>
      </c>
      <c r="F66" s="255">
        <v>6550835116.1917782</v>
      </c>
      <c r="G66" s="234"/>
      <c r="H66" s="234"/>
      <c r="I66" s="234"/>
      <c r="J66" s="30" t="s">
        <v>72</v>
      </c>
    </row>
    <row r="67" spans="2:10" x14ac:dyDescent="0.25">
      <c r="B67" s="8" t="s">
        <v>0</v>
      </c>
      <c r="C67" s="1" t="s">
        <v>26</v>
      </c>
      <c r="D67" t="s">
        <v>87</v>
      </c>
      <c r="E67" t="s">
        <v>21</v>
      </c>
      <c r="F67" s="255">
        <v>691039416.832286</v>
      </c>
      <c r="G67" s="234"/>
      <c r="H67" s="234"/>
      <c r="I67" s="234"/>
      <c r="J67" s="30" t="s">
        <v>72</v>
      </c>
    </row>
    <row r="68" spans="2:10" x14ac:dyDescent="0.25">
      <c r="B68" s="8" t="s">
        <v>0</v>
      </c>
      <c r="C68" s="1" t="s">
        <v>26</v>
      </c>
      <c r="D68" t="s">
        <v>87</v>
      </c>
      <c r="E68" t="s">
        <v>81</v>
      </c>
      <c r="F68" s="255">
        <v>0</v>
      </c>
      <c r="G68" s="234">
        <v>0</v>
      </c>
      <c r="H68" s="234">
        <v>0</v>
      </c>
      <c r="I68" s="234">
        <v>0</v>
      </c>
      <c r="J68" s="30" t="s">
        <v>72</v>
      </c>
    </row>
    <row r="69" spans="2:10" x14ac:dyDescent="0.25">
      <c r="B69" s="8" t="s">
        <v>0</v>
      </c>
      <c r="C69" s="1" t="s">
        <v>26</v>
      </c>
      <c r="D69" t="s">
        <v>87</v>
      </c>
      <c r="E69" t="s">
        <v>82</v>
      </c>
      <c r="F69" s="255">
        <v>2652731317.0000005</v>
      </c>
      <c r="G69" s="234">
        <v>2652731317.0000005</v>
      </c>
      <c r="H69" s="234">
        <v>2652731317.0000005</v>
      </c>
      <c r="I69" s="234">
        <v>2652731317.0000005</v>
      </c>
      <c r="J69" s="30" t="s">
        <v>72</v>
      </c>
    </row>
    <row r="70" spans="2:10" x14ac:dyDescent="0.25">
      <c r="B70" s="8" t="s">
        <v>0</v>
      </c>
      <c r="C70" t="s">
        <v>19</v>
      </c>
      <c r="D70" t="s">
        <v>87</v>
      </c>
      <c r="E70" t="s">
        <v>84</v>
      </c>
      <c r="F70" s="255">
        <v>1839918104</v>
      </c>
      <c r="G70" s="234">
        <v>1839918104</v>
      </c>
      <c r="H70" s="234">
        <v>1839918104</v>
      </c>
      <c r="I70" s="234">
        <v>1839918104</v>
      </c>
      <c r="J70" s="30" t="s">
        <v>72</v>
      </c>
    </row>
    <row r="71" spans="2:10" x14ac:dyDescent="0.25">
      <c r="B71" s="8" t="s">
        <v>0</v>
      </c>
      <c r="C71" t="s">
        <v>19</v>
      </c>
      <c r="D71" t="s">
        <v>87</v>
      </c>
      <c r="E71" t="s">
        <v>76</v>
      </c>
      <c r="F71" s="255">
        <v>14807971364.390549</v>
      </c>
      <c r="G71" s="234">
        <v>14807971364.390549</v>
      </c>
      <c r="H71" s="234">
        <v>14807971364.390549</v>
      </c>
      <c r="I71" s="234">
        <v>14807971364.390549</v>
      </c>
      <c r="J71" s="30" t="s">
        <v>72</v>
      </c>
    </row>
    <row r="72" spans="2:10" x14ac:dyDescent="0.25">
      <c r="B72" s="8" t="s">
        <v>0</v>
      </c>
      <c r="C72" s="1" t="s">
        <v>26</v>
      </c>
      <c r="D72" t="s">
        <v>87</v>
      </c>
      <c r="E72" t="s">
        <v>84</v>
      </c>
      <c r="F72" s="255">
        <v>70497000000</v>
      </c>
      <c r="G72" s="234">
        <v>70497000000</v>
      </c>
      <c r="H72" s="234">
        <v>70497000000</v>
      </c>
      <c r="I72" s="234">
        <v>70497000000</v>
      </c>
      <c r="J72" s="30" t="s">
        <v>72</v>
      </c>
    </row>
    <row r="73" spans="2:10" x14ac:dyDescent="0.25">
      <c r="B73" s="17" t="s">
        <v>0</v>
      </c>
      <c r="C73" s="13" t="s">
        <v>26</v>
      </c>
      <c r="D73" s="12" t="s">
        <v>87</v>
      </c>
      <c r="E73" s="12" t="s">
        <v>76</v>
      </c>
      <c r="F73" s="256">
        <v>28445975851.511768</v>
      </c>
      <c r="G73" s="235">
        <v>28445975851.511768</v>
      </c>
      <c r="H73" s="235">
        <v>28445975851.511768</v>
      </c>
      <c r="I73" s="235">
        <v>28445975851.511768</v>
      </c>
      <c r="J73" s="30" t="s">
        <v>72</v>
      </c>
    </row>
    <row r="74" spans="2:10" x14ac:dyDescent="0.25">
      <c r="B74" s="1" t="s">
        <v>13</v>
      </c>
      <c r="C74" t="s">
        <v>19</v>
      </c>
      <c r="D74" t="s">
        <v>87</v>
      </c>
      <c r="E74" t="s">
        <v>20</v>
      </c>
      <c r="F74" s="255">
        <v>10071000000</v>
      </c>
      <c r="G74" s="234">
        <v>0</v>
      </c>
      <c r="H74" s="234">
        <v>0</v>
      </c>
      <c r="I74" s="234">
        <v>0</v>
      </c>
      <c r="J74" s="30" t="s">
        <v>72</v>
      </c>
    </row>
    <row r="75" spans="2:10" x14ac:dyDescent="0.25">
      <c r="B75" s="1" t="s">
        <v>13</v>
      </c>
      <c r="C75" s="1" t="s">
        <v>26</v>
      </c>
      <c r="D75" t="s">
        <v>87</v>
      </c>
      <c r="E75" t="s">
        <v>18</v>
      </c>
      <c r="F75" s="255">
        <v>37122472878.033897</v>
      </c>
      <c r="G75" s="234">
        <v>13258026.027869107</v>
      </c>
      <c r="H75" s="234">
        <v>0</v>
      </c>
      <c r="I75" s="234">
        <v>0</v>
      </c>
      <c r="J75" s="30" t="s">
        <v>72</v>
      </c>
    </row>
    <row r="76" spans="2:10" x14ac:dyDescent="0.25">
      <c r="B76" s="1" t="s">
        <v>13</v>
      </c>
      <c r="C76" s="1" t="s">
        <v>26</v>
      </c>
      <c r="D76" t="s">
        <v>87</v>
      </c>
      <c r="E76" t="s">
        <v>88</v>
      </c>
      <c r="F76" s="255">
        <v>7935141704</v>
      </c>
      <c r="G76" s="234">
        <v>7935141.7040000008</v>
      </c>
      <c r="H76" s="234">
        <v>7935141.7040000008</v>
      </c>
      <c r="I76" s="234">
        <v>7935141.7040000008</v>
      </c>
      <c r="J76" s="30" t="s">
        <v>72</v>
      </c>
    </row>
    <row r="77" spans="2:10" x14ac:dyDescent="0.25">
      <c r="B77" s="13" t="s">
        <v>13</v>
      </c>
      <c r="C77" s="12" t="s">
        <v>19</v>
      </c>
      <c r="D77" s="12" t="s">
        <v>87</v>
      </c>
      <c r="E77" s="94" t="s">
        <v>18</v>
      </c>
      <c r="F77" s="256">
        <v>56898421143.605698</v>
      </c>
      <c r="G77" s="235">
        <v>46619801.690779768</v>
      </c>
      <c r="H77" s="235">
        <v>42218003.181269228</v>
      </c>
      <c r="I77" s="235">
        <v>65780008.845752195</v>
      </c>
      <c r="J77" s="30" t="s">
        <v>72</v>
      </c>
    </row>
    <row r="78" spans="2:10" ht="16.899999999999999" customHeight="1" x14ac:dyDescent="0.25">
      <c r="B78" s="1"/>
      <c r="C78" s="1"/>
    </row>
    <row r="79" spans="2:10" x14ac:dyDescent="0.25">
      <c r="F79" s="2"/>
      <c r="G79" s="2"/>
      <c r="H79" s="2"/>
      <c r="I79" s="2"/>
    </row>
    <row r="80" spans="2:10" x14ac:dyDescent="0.25">
      <c r="F80" s="2"/>
      <c r="G80" s="2"/>
      <c r="H80" s="2"/>
      <c r="I80" s="2"/>
    </row>
    <row r="81" spans="5:9" x14ac:dyDescent="0.25">
      <c r="E81" s="9"/>
      <c r="F81" s="36"/>
      <c r="G81" s="36"/>
      <c r="H81" s="36"/>
      <c r="I81" s="36"/>
    </row>
    <row r="82" spans="5:9" x14ac:dyDescent="0.25">
      <c r="E82" s="9"/>
      <c r="F82" s="18"/>
      <c r="G82" s="18"/>
      <c r="H82" s="18"/>
      <c r="I82" s="18"/>
    </row>
    <row r="83" spans="5:9" x14ac:dyDescent="0.25">
      <c r="E83" s="9"/>
      <c r="F83" s="18"/>
      <c r="G83" s="18"/>
      <c r="H83" s="18"/>
      <c r="I83" s="18"/>
    </row>
    <row r="84" spans="5:9" x14ac:dyDescent="0.25">
      <c r="E84" s="9"/>
      <c r="F84" s="18"/>
      <c r="G84" s="18"/>
      <c r="H84" s="18"/>
      <c r="I84" s="18"/>
    </row>
    <row r="85" spans="5:9" x14ac:dyDescent="0.25">
      <c r="E85" s="9"/>
      <c r="F85" s="18"/>
      <c r="G85" s="18"/>
      <c r="H85" s="18"/>
      <c r="I85" s="18"/>
    </row>
    <row r="86" spans="5:9" x14ac:dyDescent="0.25">
      <c r="E86" s="9"/>
      <c r="F86" s="18"/>
      <c r="G86" s="18"/>
      <c r="H86" s="18"/>
      <c r="I86" s="18"/>
    </row>
    <row r="87" spans="5:9" x14ac:dyDescent="0.25">
      <c r="E87" s="9"/>
      <c r="F87" s="18"/>
      <c r="G87" s="18"/>
      <c r="H87" s="18"/>
      <c r="I87" s="18"/>
    </row>
    <row r="88" spans="5:9" x14ac:dyDescent="0.25">
      <c r="E88" s="9"/>
      <c r="F88" s="18"/>
      <c r="G88" s="18"/>
      <c r="H88" s="18"/>
      <c r="I88" s="18"/>
    </row>
    <row r="89" spans="5:9" x14ac:dyDescent="0.25">
      <c r="E89" s="9"/>
      <c r="F89" s="18"/>
      <c r="G89" s="18"/>
      <c r="H89" s="18"/>
      <c r="I89" s="18"/>
    </row>
    <row r="90" spans="5:9" x14ac:dyDescent="0.25">
      <c r="E90" s="9"/>
      <c r="F90" s="18"/>
      <c r="G90" s="18"/>
      <c r="H90" s="18"/>
      <c r="I90" s="18"/>
    </row>
    <row r="91" spans="5:9" x14ac:dyDescent="0.25">
      <c r="E91" s="9"/>
      <c r="F91" s="18"/>
      <c r="G91" s="18"/>
      <c r="H91" s="18"/>
      <c r="I91" s="18"/>
    </row>
    <row r="92" spans="5:9" x14ac:dyDescent="0.25">
      <c r="E92" s="9"/>
      <c r="F92" s="18"/>
      <c r="G92" s="18"/>
      <c r="H92" s="18"/>
      <c r="I92" s="18"/>
    </row>
    <row r="93" spans="5:9" x14ac:dyDescent="0.25">
      <c r="E93" s="9"/>
      <c r="F93" s="18"/>
      <c r="G93" s="18"/>
      <c r="H93" s="18"/>
      <c r="I93" s="18"/>
    </row>
    <row r="94" spans="5:9" x14ac:dyDescent="0.25">
      <c r="E94" s="9"/>
      <c r="F94" s="18"/>
      <c r="G94" s="18"/>
      <c r="H94" s="18"/>
      <c r="I94" s="18"/>
    </row>
    <row r="95" spans="5:9" x14ac:dyDescent="0.25">
      <c r="E95" s="9"/>
      <c r="F95" s="18"/>
      <c r="G95" s="18"/>
      <c r="H95" s="18"/>
      <c r="I95" s="18"/>
    </row>
    <row r="96" spans="5:9" x14ac:dyDescent="0.25">
      <c r="E96" s="9"/>
      <c r="F96" s="18"/>
      <c r="G96" s="18"/>
      <c r="H96" s="18"/>
      <c r="I96" s="18"/>
    </row>
    <row r="97" spans="5:9" x14ac:dyDescent="0.25">
      <c r="E97" s="9"/>
      <c r="F97" s="18"/>
      <c r="G97" s="18"/>
      <c r="H97" s="18"/>
      <c r="I97" s="18"/>
    </row>
    <row r="98" spans="5:9" x14ac:dyDescent="0.25">
      <c r="E98" s="9"/>
      <c r="F98" s="18"/>
      <c r="G98" s="18"/>
      <c r="H98" s="18"/>
      <c r="I98" s="18"/>
    </row>
    <row r="99" spans="5:9" x14ac:dyDescent="0.25">
      <c r="E99" s="9"/>
      <c r="F99" s="18"/>
      <c r="G99" s="18"/>
      <c r="H99" s="18"/>
      <c r="I99" s="18"/>
    </row>
    <row r="100" spans="5:9" x14ac:dyDescent="0.25">
      <c r="E100" s="9"/>
      <c r="F100" s="18"/>
      <c r="G100" s="18"/>
      <c r="H100" s="18"/>
      <c r="I100" s="18"/>
    </row>
    <row r="101" spans="5:9" x14ac:dyDescent="0.25">
      <c r="E101" s="9"/>
      <c r="F101" s="18"/>
      <c r="G101" s="18"/>
      <c r="H101" s="18"/>
      <c r="I101" s="18"/>
    </row>
    <row r="102" spans="5:9" x14ac:dyDescent="0.25">
      <c r="E102" s="9"/>
      <c r="F102" s="18"/>
      <c r="G102" s="18"/>
      <c r="H102" s="18"/>
      <c r="I102" s="18"/>
    </row>
    <row r="103" spans="5:9" x14ac:dyDescent="0.25">
      <c r="E103" s="9"/>
      <c r="F103" s="18"/>
      <c r="G103" s="18"/>
      <c r="H103" s="18"/>
      <c r="I103" s="18"/>
    </row>
    <row r="104" spans="5:9" x14ac:dyDescent="0.25">
      <c r="E104" s="9"/>
      <c r="F104" s="18"/>
      <c r="G104" s="18"/>
      <c r="H104" s="18"/>
      <c r="I104" s="18"/>
    </row>
    <row r="105" spans="5:9" x14ac:dyDescent="0.25">
      <c r="E105" s="9"/>
      <c r="F105" s="18"/>
      <c r="G105" s="18"/>
      <c r="H105" s="18"/>
      <c r="I105" s="18"/>
    </row>
    <row r="106" spans="5:9" x14ac:dyDescent="0.25">
      <c r="E106" s="9"/>
      <c r="F106" s="18"/>
      <c r="G106" s="18"/>
      <c r="H106" s="18"/>
      <c r="I106" s="18"/>
    </row>
    <row r="107" spans="5:9" x14ac:dyDescent="0.25">
      <c r="E107" s="9"/>
      <c r="F107" s="18"/>
      <c r="G107" s="18"/>
      <c r="H107" s="18"/>
      <c r="I107" s="18"/>
    </row>
    <row r="108" spans="5:9" x14ac:dyDescent="0.25">
      <c r="E108" s="9"/>
      <c r="F108" s="18"/>
      <c r="G108" s="18"/>
      <c r="H108" s="18"/>
      <c r="I108" s="18"/>
    </row>
    <row r="109" spans="5:9" x14ac:dyDescent="0.25">
      <c r="E109" s="9"/>
      <c r="F109" s="18"/>
      <c r="G109" s="18"/>
      <c r="H109" s="18"/>
      <c r="I109" s="18"/>
    </row>
    <row r="110" spans="5:9" x14ac:dyDescent="0.25">
      <c r="E110" s="9"/>
      <c r="F110" s="18"/>
      <c r="G110" s="18"/>
      <c r="H110" s="18"/>
      <c r="I110" s="18"/>
    </row>
    <row r="111" spans="5:9" x14ac:dyDescent="0.25">
      <c r="E111" s="9"/>
      <c r="F111" s="18"/>
      <c r="G111" s="18"/>
      <c r="H111" s="18"/>
      <c r="I111" s="18"/>
    </row>
    <row r="112" spans="5:9" x14ac:dyDescent="0.25">
      <c r="E112" s="9"/>
      <c r="F112" s="18"/>
      <c r="G112" s="18"/>
      <c r="H112" s="18"/>
      <c r="I112" s="18"/>
    </row>
    <row r="113" spans="5:9" x14ac:dyDescent="0.25">
      <c r="E113" s="9"/>
      <c r="F113" s="18"/>
      <c r="G113" s="18"/>
      <c r="H113" s="18"/>
      <c r="I113" s="18"/>
    </row>
    <row r="114" spans="5:9" x14ac:dyDescent="0.25">
      <c r="E114" s="9"/>
      <c r="F114" s="18"/>
      <c r="G114" s="18"/>
      <c r="H114" s="18"/>
      <c r="I114" s="18"/>
    </row>
    <row r="115" spans="5:9" x14ac:dyDescent="0.25">
      <c r="E115" s="9"/>
      <c r="F115" s="18"/>
      <c r="G115" s="18"/>
      <c r="H115" s="18"/>
      <c r="I115" s="18"/>
    </row>
    <row r="116" spans="5:9" x14ac:dyDescent="0.25">
      <c r="E116" s="9"/>
      <c r="F116" s="18"/>
      <c r="G116" s="18"/>
      <c r="H116" s="18"/>
      <c r="I116" s="18"/>
    </row>
    <row r="119" spans="5:9" x14ac:dyDescent="0.25">
      <c r="F119" s="77"/>
      <c r="G119" s="77"/>
      <c r="H119" s="77"/>
      <c r="I119" s="77"/>
    </row>
    <row r="120" spans="5:9" x14ac:dyDescent="0.25">
      <c r="F120" s="77"/>
      <c r="G120" s="77"/>
      <c r="H120" s="77"/>
      <c r="I120" s="77"/>
    </row>
    <row r="121" spans="5:9" x14ac:dyDescent="0.25">
      <c r="F121" s="77"/>
      <c r="G121" s="77"/>
      <c r="H121" s="77"/>
      <c r="I121" s="77"/>
    </row>
    <row r="122" spans="5:9" x14ac:dyDescent="0.25">
      <c r="F122" s="77"/>
      <c r="G122" s="77"/>
      <c r="H122" s="77"/>
      <c r="I122" s="77"/>
    </row>
    <row r="123" spans="5:9" x14ac:dyDescent="0.25">
      <c r="F123" s="77"/>
      <c r="G123" s="77"/>
      <c r="H123" s="77"/>
      <c r="I123" s="77"/>
    </row>
    <row r="124" spans="5:9" x14ac:dyDescent="0.25">
      <c r="F124" s="77"/>
      <c r="G124" s="77"/>
      <c r="H124" s="77"/>
      <c r="I124" s="77"/>
    </row>
    <row r="125" spans="5:9" x14ac:dyDescent="0.25">
      <c r="F125" s="77"/>
      <c r="G125" s="77"/>
      <c r="H125" s="77"/>
      <c r="I125" s="77"/>
    </row>
    <row r="126" spans="5:9" x14ac:dyDescent="0.25">
      <c r="F126" s="77"/>
      <c r="G126" s="77"/>
      <c r="H126" s="77"/>
      <c r="I126" s="77"/>
    </row>
    <row r="127" spans="5:9" x14ac:dyDescent="0.25">
      <c r="F127" s="77"/>
      <c r="G127" s="77"/>
      <c r="H127" s="77"/>
      <c r="I127" s="77"/>
    </row>
    <row r="128" spans="5:9" x14ac:dyDescent="0.25">
      <c r="F128" s="77"/>
      <c r="G128" s="77"/>
      <c r="H128" s="77"/>
      <c r="I128" s="77"/>
    </row>
    <row r="129" spans="6:9" x14ac:dyDescent="0.25">
      <c r="F129" s="77"/>
      <c r="G129" s="77"/>
      <c r="H129" s="77"/>
      <c r="I129" s="77"/>
    </row>
    <row r="130" spans="6:9" x14ac:dyDescent="0.25">
      <c r="F130" s="77"/>
      <c r="G130" s="77"/>
      <c r="H130" s="77"/>
      <c r="I130" s="77"/>
    </row>
    <row r="131" spans="6:9" x14ac:dyDescent="0.25">
      <c r="F131" s="77"/>
      <c r="G131" s="77"/>
      <c r="H131" s="77"/>
      <c r="I131" s="77"/>
    </row>
    <row r="132" spans="6:9" x14ac:dyDescent="0.25">
      <c r="F132" s="77"/>
      <c r="G132" s="77"/>
      <c r="H132" s="77"/>
      <c r="I132" s="77"/>
    </row>
    <row r="133" spans="6:9" x14ac:dyDescent="0.25">
      <c r="F133" s="77"/>
      <c r="G133" s="77"/>
      <c r="H133" s="77"/>
      <c r="I133" s="77"/>
    </row>
    <row r="134" spans="6:9" x14ac:dyDescent="0.25">
      <c r="F134" s="77"/>
      <c r="G134" s="77"/>
      <c r="H134" s="77"/>
      <c r="I134" s="77"/>
    </row>
    <row r="135" spans="6:9" x14ac:dyDescent="0.25">
      <c r="F135" s="77"/>
      <c r="G135" s="77"/>
      <c r="H135" s="77"/>
      <c r="I135" s="77"/>
    </row>
    <row r="136" spans="6:9" x14ac:dyDescent="0.25">
      <c r="F136" s="77"/>
      <c r="G136" s="77"/>
      <c r="H136" s="77"/>
      <c r="I136" s="77"/>
    </row>
    <row r="137" spans="6:9" x14ac:dyDescent="0.25">
      <c r="F137" s="77"/>
      <c r="G137" s="77"/>
      <c r="H137" s="77"/>
      <c r="I137" s="77"/>
    </row>
    <row r="138" spans="6:9" x14ac:dyDescent="0.25">
      <c r="F138" s="77"/>
      <c r="G138" s="77"/>
      <c r="H138" s="77"/>
      <c r="I138" s="77"/>
    </row>
    <row r="139" spans="6:9" x14ac:dyDescent="0.25">
      <c r="F139" s="77"/>
      <c r="G139" s="77"/>
      <c r="H139" s="77"/>
      <c r="I139" s="77"/>
    </row>
    <row r="140" spans="6:9" x14ac:dyDescent="0.25">
      <c r="F140" s="77"/>
      <c r="G140" s="77"/>
      <c r="H140" s="77"/>
      <c r="I140" s="77"/>
    </row>
    <row r="141" spans="6:9" x14ac:dyDescent="0.25">
      <c r="F141" s="77"/>
      <c r="G141" s="77"/>
      <c r="H141" s="77"/>
      <c r="I141" s="77"/>
    </row>
    <row r="142" spans="6:9" x14ac:dyDescent="0.25">
      <c r="F142" s="77"/>
      <c r="G142" s="77"/>
      <c r="H142" s="77"/>
      <c r="I142" s="77"/>
    </row>
    <row r="143" spans="6:9" x14ac:dyDescent="0.25">
      <c r="F143" s="77"/>
      <c r="G143" s="77"/>
      <c r="H143" s="77"/>
      <c r="I143" s="77"/>
    </row>
    <row r="144" spans="6:9" x14ac:dyDescent="0.25">
      <c r="F144" s="77"/>
      <c r="G144" s="77"/>
      <c r="H144" s="77"/>
      <c r="I144" s="77"/>
    </row>
    <row r="145" spans="6:9" x14ac:dyDescent="0.25">
      <c r="F145" s="77"/>
      <c r="G145" s="77"/>
      <c r="H145" s="77"/>
      <c r="I145" s="77"/>
    </row>
    <row r="146" spans="6:9" x14ac:dyDescent="0.25">
      <c r="F146" s="77"/>
      <c r="G146" s="77"/>
      <c r="H146" s="77"/>
      <c r="I146" s="77"/>
    </row>
    <row r="147" spans="6:9" x14ac:dyDescent="0.25">
      <c r="F147" s="77"/>
      <c r="G147" s="77"/>
      <c r="H147" s="77"/>
      <c r="I147" s="77"/>
    </row>
    <row r="148" spans="6:9" x14ac:dyDescent="0.25">
      <c r="F148" s="77"/>
      <c r="G148" s="77"/>
      <c r="H148" s="77"/>
      <c r="I148" s="77"/>
    </row>
    <row r="149" spans="6:9" x14ac:dyDescent="0.25">
      <c r="F149" s="77"/>
      <c r="G149" s="77"/>
      <c r="H149" s="77"/>
      <c r="I149" s="77"/>
    </row>
    <row r="150" spans="6:9" x14ac:dyDescent="0.25">
      <c r="F150" s="77"/>
      <c r="G150" s="77"/>
      <c r="H150" s="77"/>
      <c r="I150" s="77"/>
    </row>
    <row r="151" spans="6:9" x14ac:dyDescent="0.25">
      <c r="F151" s="77"/>
      <c r="G151" s="77"/>
      <c r="H151" s="77"/>
      <c r="I151" s="77"/>
    </row>
    <row r="152" spans="6:9" x14ac:dyDescent="0.25">
      <c r="F152" s="77"/>
      <c r="G152" s="77"/>
      <c r="H152" s="77"/>
      <c r="I152" s="77"/>
    </row>
    <row r="153" spans="6:9" x14ac:dyDescent="0.25">
      <c r="F153" s="77"/>
      <c r="G153" s="77"/>
      <c r="H153" s="77"/>
      <c r="I153" s="77"/>
    </row>
  </sheetData>
  <sheetProtection algorithmName="SHA-512" hashValue="MybHPcHnBgr3Mz2uNP+tOJ3Gihrd4il+ZJ0szjOqlEqca95gH2MoHKNVcMdOdgomzeb+HaKcNyY2pDINxGq74w==" saltValue="xYh5U2Az0kl4RG63FUekPQ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>
    <tabColor theme="4" tint="0.79998168889431442"/>
  </sheetPr>
  <dimension ref="A1:AD116"/>
  <sheetViews>
    <sheetView showGridLines="0" zoomScaleNormal="100" workbookViewId="0"/>
  </sheetViews>
  <sheetFormatPr baseColWidth="10" defaultRowHeight="15" x14ac:dyDescent="0.25"/>
  <cols>
    <col min="1" max="1" width="5.7109375" customWidth="1"/>
    <col min="4" max="4" width="4.28515625" customWidth="1"/>
    <col min="5" max="5" width="22.5703125" customWidth="1"/>
    <col min="6" max="30" width="7.140625" customWidth="1"/>
  </cols>
  <sheetData>
    <row r="1" spans="1:30" x14ac:dyDescent="0.25">
      <c r="B1" s="4"/>
    </row>
    <row r="2" spans="1:30" x14ac:dyDescent="0.2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</row>
    <row r="3" spans="1:30" ht="97.5" thickBot="1" x14ac:dyDescent="0.3">
      <c r="B3" s="41" t="s">
        <v>74</v>
      </c>
      <c r="C3" s="41"/>
      <c r="E3" s="42" t="s">
        <v>75</v>
      </c>
      <c r="F3" s="46" t="s">
        <v>20</v>
      </c>
      <c r="G3" s="46" t="s">
        <v>21</v>
      </c>
      <c r="H3" s="46" t="s">
        <v>22</v>
      </c>
      <c r="I3" s="46" t="s">
        <v>34</v>
      </c>
      <c r="J3" s="46" t="s">
        <v>30</v>
      </c>
      <c r="K3" s="46" t="s">
        <v>29</v>
      </c>
      <c r="L3" s="46" t="s">
        <v>18</v>
      </c>
      <c r="M3" s="46" t="s">
        <v>196</v>
      </c>
      <c r="N3" s="46" t="s">
        <v>23</v>
      </c>
      <c r="O3" s="46" t="s">
        <v>35</v>
      </c>
      <c r="P3" s="46" t="s">
        <v>36</v>
      </c>
      <c r="Q3" s="46" t="s">
        <v>37</v>
      </c>
      <c r="R3" s="46" t="s">
        <v>38</v>
      </c>
      <c r="S3" s="46" t="s">
        <v>39</v>
      </c>
      <c r="T3" s="46" t="s">
        <v>40</v>
      </c>
      <c r="U3" s="46" t="s">
        <v>41</v>
      </c>
      <c r="V3" s="46" t="s">
        <v>42</v>
      </c>
      <c r="W3" s="46" t="s">
        <v>43</v>
      </c>
      <c r="X3" s="46" t="s">
        <v>44</v>
      </c>
      <c r="Y3" s="46" t="s">
        <v>45</v>
      </c>
      <c r="Z3" s="46" t="s">
        <v>46</v>
      </c>
      <c r="AA3" s="46" t="s">
        <v>47</v>
      </c>
      <c r="AB3" s="46" t="s">
        <v>48</v>
      </c>
      <c r="AC3" s="46" t="s">
        <v>49</v>
      </c>
      <c r="AD3" s="46" t="s">
        <v>50</v>
      </c>
    </row>
    <row r="4" spans="1:30" x14ac:dyDescent="0.25">
      <c r="B4" s="37" t="s">
        <v>20</v>
      </c>
      <c r="C4" s="82">
        <v>3</v>
      </c>
      <c r="E4" s="37" t="s">
        <v>20</v>
      </c>
      <c r="F4" s="47">
        <f t="array" ref="F4:AD13">IF(F35:AD59=0,F63:AD87,F35:AD59)</f>
        <v>0</v>
      </c>
      <c r="G4" s="48">
        <v>245</v>
      </c>
      <c r="H4" s="48">
        <v>340</v>
      </c>
      <c r="I4" s="48">
        <v>49</v>
      </c>
      <c r="J4" s="48">
        <v>39</v>
      </c>
      <c r="K4" s="48">
        <v>241</v>
      </c>
      <c r="L4" s="48">
        <v>384.59447</v>
      </c>
      <c r="M4" s="48">
        <v>337</v>
      </c>
      <c r="N4" s="49">
        <v>5</v>
      </c>
      <c r="O4" s="50">
        <v>27</v>
      </c>
      <c r="P4" s="48">
        <v>81</v>
      </c>
      <c r="Q4" s="48">
        <v>136</v>
      </c>
      <c r="R4" s="48">
        <v>188</v>
      </c>
      <c r="S4" s="48">
        <v>205</v>
      </c>
      <c r="T4" s="48">
        <v>225</v>
      </c>
      <c r="U4" s="51">
        <v>3.05</v>
      </c>
      <c r="V4" s="47">
        <v>74.84778</v>
      </c>
      <c r="W4" s="48">
        <v>140.48994999999999</v>
      </c>
      <c r="X4" s="48">
        <v>183.23273</v>
      </c>
      <c r="Y4" s="48">
        <v>213.69001</v>
      </c>
      <c r="Z4" s="48">
        <v>234.34958</v>
      </c>
      <c r="AA4" s="48">
        <v>271.73602</v>
      </c>
      <c r="AB4" s="48">
        <v>303.39652000000001</v>
      </c>
      <c r="AC4" s="48">
        <v>323.51218999999998</v>
      </c>
      <c r="AD4" s="49">
        <v>364.42469</v>
      </c>
    </row>
    <row r="5" spans="1:30" x14ac:dyDescent="0.25">
      <c r="B5" s="38" t="s">
        <v>21</v>
      </c>
      <c r="C5" s="83">
        <v>242</v>
      </c>
      <c r="E5" s="38" t="s">
        <v>21</v>
      </c>
      <c r="F5" s="52">
        <v>245</v>
      </c>
      <c r="G5" s="53">
        <v>0</v>
      </c>
      <c r="H5" s="53">
        <v>95</v>
      </c>
      <c r="I5" s="53">
        <v>288</v>
      </c>
      <c r="J5" s="53">
        <v>278</v>
      </c>
      <c r="K5" s="53">
        <v>480</v>
      </c>
      <c r="L5" s="53">
        <v>623.59447</v>
      </c>
      <c r="M5" s="53">
        <v>92</v>
      </c>
      <c r="N5" s="54">
        <v>244</v>
      </c>
      <c r="O5" s="55">
        <v>218</v>
      </c>
      <c r="P5" s="53">
        <v>164</v>
      </c>
      <c r="Q5" s="53">
        <v>109</v>
      </c>
      <c r="R5" s="53">
        <v>57</v>
      </c>
      <c r="S5" s="53">
        <v>40</v>
      </c>
      <c r="T5" s="53">
        <v>20</v>
      </c>
      <c r="U5" s="56">
        <v>241.95</v>
      </c>
      <c r="V5" s="52">
        <v>313.84778</v>
      </c>
      <c r="W5" s="53">
        <v>379.48995000000002</v>
      </c>
      <c r="X5" s="53">
        <v>422.23273</v>
      </c>
      <c r="Y5" s="53">
        <v>452.69001000000003</v>
      </c>
      <c r="Z5" s="53">
        <v>473.34958</v>
      </c>
      <c r="AA5" s="53">
        <v>510.73602</v>
      </c>
      <c r="AB5" s="53">
        <v>542.39652000000001</v>
      </c>
      <c r="AC5" s="53">
        <v>562.51218999999992</v>
      </c>
      <c r="AD5" s="54">
        <v>603.42469000000006</v>
      </c>
    </row>
    <row r="6" spans="1:30" x14ac:dyDescent="0.25">
      <c r="B6" s="38" t="s">
        <v>22</v>
      </c>
      <c r="C6" s="83">
        <v>337</v>
      </c>
      <c r="E6" s="38" t="s">
        <v>22</v>
      </c>
      <c r="F6" s="52">
        <v>340</v>
      </c>
      <c r="G6" s="53">
        <v>95</v>
      </c>
      <c r="H6" s="53">
        <v>0</v>
      </c>
      <c r="I6" s="53">
        <v>383</v>
      </c>
      <c r="J6" s="53">
        <v>373</v>
      </c>
      <c r="K6" s="53">
        <v>575</v>
      </c>
      <c r="L6" s="53">
        <v>718.59447</v>
      </c>
      <c r="M6" s="53">
        <v>3</v>
      </c>
      <c r="N6" s="54">
        <v>339</v>
      </c>
      <c r="O6" s="55">
        <v>313</v>
      </c>
      <c r="P6" s="53">
        <v>259</v>
      </c>
      <c r="Q6" s="53">
        <v>204</v>
      </c>
      <c r="R6" s="53">
        <v>152</v>
      </c>
      <c r="S6" s="53">
        <v>135</v>
      </c>
      <c r="T6" s="53">
        <v>115</v>
      </c>
      <c r="U6" s="56">
        <v>336.95</v>
      </c>
      <c r="V6" s="52">
        <v>408.84778</v>
      </c>
      <c r="W6" s="53">
        <v>474.48995000000002</v>
      </c>
      <c r="X6" s="53">
        <v>517.23272999999995</v>
      </c>
      <c r="Y6" s="53">
        <v>547.69001000000003</v>
      </c>
      <c r="Z6" s="53">
        <v>568.34958000000006</v>
      </c>
      <c r="AA6" s="53">
        <v>605.73602000000005</v>
      </c>
      <c r="AB6" s="53">
        <v>637.39652000000001</v>
      </c>
      <c r="AC6" s="53">
        <v>657.51218999999992</v>
      </c>
      <c r="AD6" s="54">
        <v>698.42469000000006</v>
      </c>
    </row>
    <row r="7" spans="1:30" x14ac:dyDescent="0.25">
      <c r="B7" s="38" t="s">
        <v>34</v>
      </c>
      <c r="C7" s="83">
        <v>46</v>
      </c>
      <c r="E7" s="38" t="s">
        <v>34</v>
      </c>
      <c r="F7" s="52">
        <v>49</v>
      </c>
      <c r="G7" s="53">
        <v>288</v>
      </c>
      <c r="H7" s="53">
        <v>383</v>
      </c>
      <c r="I7" s="53">
        <v>0</v>
      </c>
      <c r="J7" s="53">
        <v>10</v>
      </c>
      <c r="K7" s="53">
        <v>284</v>
      </c>
      <c r="L7" s="53">
        <v>427.59447</v>
      </c>
      <c r="M7" s="53">
        <v>380</v>
      </c>
      <c r="N7" s="54">
        <v>48</v>
      </c>
      <c r="O7" s="55">
        <v>70</v>
      </c>
      <c r="P7" s="53">
        <v>124</v>
      </c>
      <c r="Q7" s="53">
        <v>179</v>
      </c>
      <c r="R7" s="53">
        <v>231</v>
      </c>
      <c r="S7" s="53">
        <v>248</v>
      </c>
      <c r="T7" s="53">
        <v>268</v>
      </c>
      <c r="U7" s="56">
        <v>46.05</v>
      </c>
      <c r="V7" s="52">
        <v>117.84778</v>
      </c>
      <c r="W7" s="53">
        <v>183.48994999999999</v>
      </c>
      <c r="X7" s="53">
        <v>226.23273</v>
      </c>
      <c r="Y7" s="53">
        <v>256.69001000000003</v>
      </c>
      <c r="Z7" s="53">
        <v>277.34958</v>
      </c>
      <c r="AA7" s="53">
        <v>314.73602</v>
      </c>
      <c r="AB7" s="53">
        <v>346.39652000000001</v>
      </c>
      <c r="AC7" s="53">
        <v>366.51218999999998</v>
      </c>
      <c r="AD7" s="54">
        <v>407.42469</v>
      </c>
    </row>
    <row r="8" spans="1:30" x14ac:dyDescent="0.25">
      <c r="B8" s="38" t="s">
        <v>30</v>
      </c>
      <c r="C8" s="83">
        <v>36</v>
      </c>
      <c r="E8" s="38" t="s">
        <v>30</v>
      </c>
      <c r="F8" s="52">
        <v>39</v>
      </c>
      <c r="G8" s="53">
        <v>278</v>
      </c>
      <c r="H8" s="53">
        <v>373</v>
      </c>
      <c r="I8" s="53">
        <v>10</v>
      </c>
      <c r="J8" s="53">
        <v>0</v>
      </c>
      <c r="K8" s="53">
        <v>274</v>
      </c>
      <c r="L8" s="53">
        <v>417.59447</v>
      </c>
      <c r="M8" s="53">
        <v>370</v>
      </c>
      <c r="N8" s="54">
        <v>38</v>
      </c>
      <c r="O8" s="55">
        <v>60</v>
      </c>
      <c r="P8" s="53">
        <v>114</v>
      </c>
      <c r="Q8" s="53">
        <v>169</v>
      </c>
      <c r="R8" s="53">
        <v>221</v>
      </c>
      <c r="S8" s="53">
        <v>238</v>
      </c>
      <c r="T8" s="53">
        <v>258</v>
      </c>
      <c r="U8" s="56">
        <v>36.049999999999997</v>
      </c>
      <c r="V8" s="52">
        <v>107.84778</v>
      </c>
      <c r="W8" s="53">
        <v>173.48994999999999</v>
      </c>
      <c r="X8" s="53">
        <v>216.23273</v>
      </c>
      <c r="Y8" s="53">
        <v>246.69001</v>
      </c>
      <c r="Z8" s="53">
        <v>267.34958</v>
      </c>
      <c r="AA8" s="53">
        <v>304.73602</v>
      </c>
      <c r="AB8" s="53">
        <v>336.39652000000001</v>
      </c>
      <c r="AC8" s="53">
        <v>356.51218999999998</v>
      </c>
      <c r="AD8" s="54">
        <v>397.42469</v>
      </c>
    </row>
    <row r="9" spans="1:30" x14ac:dyDescent="0.25">
      <c r="B9" s="38" t="s">
        <v>29</v>
      </c>
      <c r="C9" s="83">
        <v>238</v>
      </c>
      <c r="E9" s="38" t="s">
        <v>29</v>
      </c>
      <c r="F9" s="52">
        <v>241</v>
      </c>
      <c r="G9" s="53">
        <v>480</v>
      </c>
      <c r="H9" s="53">
        <v>575</v>
      </c>
      <c r="I9" s="53">
        <v>284</v>
      </c>
      <c r="J9" s="53">
        <v>274</v>
      </c>
      <c r="K9" s="53">
        <v>0</v>
      </c>
      <c r="L9" s="53">
        <v>143.59447</v>
      </c>
      <c r="M9" s="53">
        <v>572</v>
      </c>
      <c r="N9" s="54">
        <v>240</v>
      </c>
      <c r="O9" s="55">
        <v>262</v>
      </c>
      <c r="P9" s="53">
        <v>316</v>
      </c>
      <c r="Q9" s="53">
        <v>371</v>
      </c>
      <c r="R9" s="53">
        <v>423</v>
      </c>
      <c r="S9" s="53">
        <v>440</v>
      </c>
      <c r="T9" s="53">
        <v>460</v>
      </c>
      <c r="U9" s="56">
        <v>238.05</v>
      </c>
      <c r="V9" s="52">
        <v>166.15222</v>
      </c>
      <c r="W9" s="53">
        <v>100.51005000000001</v>
      </c>
      <c r="X9" s="53">
        <v>57.767269999999996</v>
      </c>
      <c r="Y9" s="53">
        <v>27.309989999999999</v>
      </c>
      <c r="Z9" s="53">
        <v>47.969560000000001</v>
      </c>
      <c r="AA9" s="53">
        <v>85.355999999999995</v>
      </c>
      <c r="AB9" s="53">
        <v>117.01650000000001</v>
      </c>
      <c r="AC9" s="53">
        <v>137.13216999999992</v>
      </c>
      <c r="AD9" s="54">
        <v>178.04467000000005</v>
      </c>
    </row>
    <row r="10" spans="1:30" x14ac:dyDescent="0.25">
      <c r="B10" s="38" t="s">
        <v>18</v>
      </c>
      <c r="C10" s="83">
        <v>381.59447</v>
      </c>
      <c r="E10" s="38" t="s">
        <v>18</v>
      </c>
      <c r="F10" s="52">
        <v>384.59447</v>
      </c>
      <c r="G10" s="53">
        <v>623.59447</v>
      </c>
      <c r="H10" s="53">
        <v>718.59447</v>
      </c>
      <c r="I10" s="53">
        <v>427.59447</v>
      </c>
      <c r="J10" s="53">
        <v>417.59447</v>
      </c>
      <c r="K10" s="53">
        <v>143.59447</v>
      </c>
      <c r="L10" s="53">
        <v>0</v>
      </c>
      <c r="M10" s="53">
        <v>715.59447</v>
      </c>
      <c r="N10" s="54">
        <v>383.59447</v>
      </c>
      <c r="O10" s="55">
        <v>405.59447</v>
      </c>
      <c r="P10" s="53">
        <v>459.59447</v>
      </c>
      <c r="Q10" s="53">
        <v>514.59447</v>
      </c>
      <c r="R10" s="53">
        <v>566.59447</v>
      </c>
      <c r="S10" s="53">
        <v>583.59447</v>
      </c>
      <c r="T10" s="53">
        <v>603.59447</v>
      </c>
      <c r="U10" s="56">
        <v>381.64447000000001</v>
      </c>
      <c r="V10" s="52">
        <v>309.74669</v>
      </c>
      <c r="W10" s="53">
        <v>244.10452000000001</v>
      </c>
      <c r="X10" s="53">
        <v>201.36174</v>
      </c>
      <c r="Y10" s="53">
        <v>170.90446</v>
      </c>
      <c r="Z10" s="53">
        <v>150.24489</v>
      </c>
      <c r="AA10" s="53">
        <v>112.85845</v>
      </c>
      <c r="AB10" s="53">
        <v>81.197949999999992</v>
      </c>
      <c r="AC10" s="53">
        <v>61.082280000000026</v>
      </c>
      <c r="AD10" s="54">
        <v>20.169780000000003</v>
      </c>
    </row>
    <row r="11" spans="1:30" x14ac:dyDescent="0.25">
      <c r="B11" s="38" t="s">
        <v>196</v>
      </c>
      <c r="C11" s="83">
        <v>334</v>
      </c>
      <c r="E11" s="38" t="s">
        <v>196</v>
      </c>
      <c r="F11" s="52">
        <v>337</v>
      </c>
      <c r="G11" s="53">
        <v>92</v>
      </c>
      <c r="H11" s="53">
        <v>3</v>
      </c>
      <c r="I11" s="53">
        <v>380</v>
      </c>
      <c r="J11" s="53">
        <v>370</v>
      </c>
      <c r="K11" s="53">
        <v>572</v>
      </c>
      <c r="L11" s="53">
        <v>715.59447</v>
      </c>
      <c r="M11" s="53">
        <v>0</v>
      </c>
      <c r="N11" s="54">
        <v>336</v>
      </c>
      <c r="O11" s="55">
        <v>310</v>
      </c>
      <c r="P11" s="53">
        <v>412</v>
      </c>
      <c r="Q11" s="53">
        <v>467</v>
      </c>
      <c r="R11" s="53">
        <v>519</v>
      </c>
      <c r="S11" s="53">
        <v>536</v>
      </c>
      <c r="T11" s="53">
        <v>556</v>
      </c>
      <c r="U11" s="56">
        <v>334.05</v>
      </c>
      <c r="V11" s="52">
        <v>405.84778</v>
      </c>
      <c r="W11" s="53">
        <v>471.48995000000002</v>
      </c>
      <c r="X11" s="53">
        <v>514.23272999999995</v>
      </c>
      <c r="Y11" s="53">
        <v>544.69001000000003</v>
      </c>
      <c r="Z11" s="53">
        <v>565.34958000000006</v>
      </c>
      <c r="AA11" s="53">
        <v>602.73602000000005</v>
      </c>
      <c r="AB11" s="53">
        <v>634.39652000000001</v>
      </c>
      <c r="AC11" s="53">
        <v>654.51218999999992</v>
      </c>
      <c r="AD11" s="54">
        <v>695.42469000000006</v>
      </c>
    </row>
    <row r="12" spans="1:30" ht="15.75" thickBot="1" x14ac:dyDescent="0.3">
      <c r="B12" s="39" t="s">
        <v>23</v>
      </c>
      <c r="C12" s="84">
        <v>2</v>
      </c>
      <c r="E12" s="39" t="s">
        <v>23</v>
      </c>
      <c r="F12" s="57">
        <v>5</v>
      </c>
      <c r="G12" s="58">
        <v>244</v>
      </c>
      <c r="H12" s="58">
        <v>339</v>
      </c>
      <c r="I12" s="58">
        <v>48</v>
      </c>
      <c r="J12" s="58">
        <v>38</v>
      </c>
      <c r="K12" s="58">
        <v>240</v>
      </c>
      <c r="L12" s="58">
        <v>383.59447</v>
      </c>
      <c r="M12" s="58">
        <v>336</v>
      </c>
      <c r="N12" s="59">
        <v>0</v>
      </c>
      <c r="O12" s="60">
        <v>26</v>
      </c>
      <c r="P12" s="61">
        <v>80</v>
      </c>
      <c r="Q12" s="61">
        <v>135</v>
      </c>
      <c r="R12" s="61">
        <v>187</v>
      </c>
      <c r="S12" s="61">
        <v>204</v>
      </c>
      <c r="T12" s="61">
        <v>224</v>
      </c>
      <c r="U12" s="62">
        <v>2.0499999999999998</v>
      </c>
      <c r="V12" s="57">
        <v>73.84778</v>
      </c>
      <c r="W12" s="58">
        <v>139.48994999999999</v>
      </c>
      <c r="X12" s="58">
        <v>182.23273</v>
      </c>
      <c r="Y12" s="58">
        <v>212.69001</v>
      </c>
      <c r="Z12" s="58">
        <v>233.34958</v>
      </c>
      <c r="AA12" s="58">
        <v>270.73602</v>
      </c>
      <c r="AB12" s="58">
        <v>302.39652000000001</v>
      </c>
      <c r="AC12" s="58">
        <v>322.51218999999998</v>
      </c>
      <c r="AD12" s="59">
        <v>363.42469</v>
      </c>
    </row>
    <row r="13" spans="1:30" x14ac:dyDescent="0.25">
      <c r="B13" s="37" t="s">
        <v>35</v>
      </c>
      <c r="C13" s="82">
        <v>24</v>
      </c>
      <c r="E13" s="37" t="s">
        <v>35</v>
      </c>
      <c r="F13" s="63">
        <v>27</v>
      </c>
      <c r="G13" s="64">
        <v>218</v>
      </c>
      <c r="H13" s="64">
        <v>313</v>
      </c>
      <c r="I13" s="64">
        <v>70</v>
      </c>
      <c r="J13" s="64">
        <v>60</v>
      </c>
      <c r="K13" s="64">
        <v>262</v>
      </c>
      <c r="L13" s="64">
        <v>405.59447</v>
      </c>
      <c r="M13" s="64">
        <v>310</v>
      </c>
      <c r="N13" s="65">
        <v>26</v>
      </c>
      <c r="O13" s="47">
        <v>0</v>
      </c>
      <c r="P13" s="48">
        <v>54</v>
      </c>
      <c r="Q13" s="48">
        <v>109</v>
      </c>
      <c r="R13" s="48">
        <v>161</v>
      </c>
      <c r="S13" s="48">
        <v>178</v>
      </c>
      <c r="T13" s="48">
        <v>198</v>
      </c>
      <c r="U13" s="49">
        <v>24</v>
      </c>
      <c r="V13" s="66">
        <v>95.84778</v>
      </c>
      <c r="W13" s="64">
        <v>161.48994999999999</v>
      </c>
      <c r="X13" s="64">
        <v>204.23273</v>
      </c>
      <c r="Y13" s="64">
        <v>234.69001</v>
      </c>
      <c r="Z13" s="64">
        <v>255.34958</v>
      </c>
      <c r="AA13" s="64">
        <v>292.73602</v>
      </c>
      <c r="AB13" s="64">
        <v>324.39652000000001</v>
      </c>
      <c r="AC13" s="64">
        <v>344.51218999999998</v>
      </c>
      <c r="AD13" s="67">
        <v>385.42469</v>
      </c>
    </row>
    <row r="14" spans="1:30" x14ac:dyDescent="0.25">
      <c r="B14" s="38" t="s">
        <v>36</v>
      </c>
      <c r="C14" s="83">
        <v>78</v>
      </c>
      <c r="E14" s="44" t="s">
        <v>36</v>
      </c>
      <c r="F14" s="52"/>
      <c r="G14" s="53"/>
      <c r="H14" s="53"/>
      <c r="I14" s="53"/>
      <c r="J14" s="53"/>
      <c r="K14" s="53"/>
      <c r="L14" s="53"/>
      <c r="M14" s="53"/>
      <c r="N14" s="56"/>
      <c r="O14" s="52"/>
      <c r="P14" s="53"/>
      <c r="Q14" s="53"/>
      <c r="R14" s="53"/>
      <c r="S14" s="53"/>
      <c r="T14" s="53"/>
      <c r="U14" s="54"/>
      <c r="V14" s="55"/>
      <c r="W14" s="53"/>
      <c r="X14" s="53"/>
      <c r="Y14" s="53"/>
      <c r="Z14" s="53"/>
      <c r="AA14" s="53"/>
      <c r="AB14" s="53"/>
      <c r="AC14" s="53"/>
      <c r="AD14" s="54"/>
    </row>
    <row r="15" spans="1:30" x14ac:dyDescent="0.25">
      <c r="B15" s="38" t="s">
        <v>37</v>
      </c>
      <c r="C15" s="83">
        <v>133</v>
      </c>
      <c r="E15" s="44" t="s">
        <v>37</v>
      </c>
      <c r="F15" s="52"/>
      <c r="G15" s="53"/>
      <c r="H15" s="53"/>
      <c r="I15" s="53"/>
      <c r="J15" s="53"/>
      <c r="K15" s="53"/>
      <c r="L15" s="53"/>
      <c r="M15" s="53"/>
      <c r="N15" s="56"/>
      <c r="O15" s="52"/>
      <c r="P15" s="53"/>
      <c r="Q15" s="53"/>
      <c r="R15" s="53"/>
      <c r="S15" s="53"/>
      <c r="T15" s="53"/>
      <c r="U15" s="54"/>
      <c r="V15" s="55"/>
      <c r="W15" s="53"/>
      <c r="X15" s="53"/>
      <c r="Y15" s="53"/>
      <c r="Z15" s="53"/>
      <c r="AA15" s="53"/>
      <c r="AB15" s="53"/>
      <c r="AC15" s="53"/>
      <c r="AD15" s="54"/>
    </row>
    <row r="16" spans="1:30" x14ac:dyDescent="0.25">
      <c r="B16" s="38" t="s">
        <v>38</v>
      </c>
      <c r="C16" s="83">
        <v>185</v>
      </c>
      <c r="E16" s="44" t="s">
        <v>38</v>
      </c>
      <c r="F16" s="52"/>
      <c r="G16" s="53"/>
      <c r="H16" s="53"/>
      <c r="I16" s="53"/>
      <c r="J16" s="53"/>
      <c r="K16" s="53"/>
      <c r="L16" s="53"/>
      <c r="M16" s="53"/>
      <c r="N16" s="56"/>
      <c r="O16" s="52"/>
      <c r="P16" s="53"/>
      <c r="Q16" s="53"/>
      <c r="R16" s="53"/>
      <c r="S16" s="53"/>
      <c r="T16" s="53"/>
      <c r="U16" s="54"/>
      <c r="V16" s="55"/>
      <c r="W16" s="53"/>
      <c r="X16" s="53"/>
      <c r="Y16" s="53"/>
      <c r="Z16" s="53"/>
      <c r="AA16" s="53"/>
      <c r="AB16" s="53"/>
      <c r="AC16" s="53"/>
      <c r="AD16" s="54"/>
    </row>
    <row r="17" spans="2:30" x14ac:dyDescent="0.25">
      <c r="B17" s="38" t="s">
        <v>39</v>
      </c>
      <c r="C17" s="83">
        <v>202</v>
      </c>
      <c r="E17" s="44" t="s">
        <v>39</v>
      </c>
      <c r="F17" s="52"/>
      <c r="G17" s="53"/>
      <c r="H17" s="53"/>
      <c r="I17" s="53"/>
      <c r="J17" s="53"/>
      <c r="K17" s="53"/>
      <c r="L17" s="53"/>
      <c r="M17" s="53"/>
      <c r="N17" s="56"/>
      <c r="O17" s="52"/>
      <c r="P17" s="53"/>
      <c r="Q17" s="53"/>
      <c r="R17" s="53"/>
      <c r="S17" s="53"/>
      <c r="T17" s="53"/>
      <c r="U17" s="54"/>
      <c r="V17" s="55"/>
      <c r="W17" s="53"/>
      <c r="X17" s="53"/>
      <c r="Y17" s="53"/>
      <c r="Z17" s="53"/>
      <c r="AA17" s="53"/>
      <c r="AB17" s="53"/>
      <c r="AC17" s="53"/>
      <c r="AD17" s="54"/>
    </row>
    <row r="18" spans="2:30" x14ac:dyDescent="0.25">
      <c r="B18" s="38" t="s">
        <v>40</v>
      </c>
      <c r="C18" s="83">
        <v>222</v>
      </c>
      <c r="E18" s="44" t="s">
        <v>40</v>
      </c>
      <c r="F18" s="52"/>
      <c r="G18" s="53"/>
      <c r="H18" s="53"/>
      <c r="I18" s="53"/>
      <c r="J18" s="53"/>
      <c r="K18" s="53"/>
      <c r="L18" s="53"/>
      <c r="M18" s="53"/>
      <c r="N18" s="56"/>
      <c r="O18" s="52"/>
      <c r="P18" s="53"/>
      <c r="Q18" s="53"/>
      <c r="R18" s="53"/>
      <c r="S18" s="53"/>
      <c r="T18" s="53"/>
      <c r="U18" s="54"/>
      <c r="V18" s="55"/>
      <c r="W18" s="53"/>
      <c r="X18" s="53"/>
      <c r="Y18" s="53"/>
      <c r="Z18" s="53"/>
      <c r="AA18" s="53"/>
      <c r="AB18" s="53"/>
      <c r="AC18" s="53"/>
      <c r="AD18" s="54"/>
    </row>
    <row r="19" spans="2:30" ht="15.75" thickBot="1" x14ac:dyDescent="0.3">
      <c r="B19" s="39" t="s">
        <v>41</v>
      </c>
      <c r="C19" s="84">
        <v>0.05</v>
      </c>
      <c r="E19" s="45" t="s">
        <v>41</v>
      </c>
      <c r="F19" s="68"/>
      <c r="G19" s="61"/>
      <c r="H19" s="61"/>
      <c r="I19" s="61"/>
      <c r="J19" s="61"/>
      <c r="K19" s="61"/>
      <c r="L19" s="61"/>
      <c r="M19" s="61"/>
      <c r="N19" s="62"/>
      <c r="O19" s="57"/>
      <c r="P19" s="58"/>
      <c r="Q19" s="58"/>
      <c r="R19" s="58"/>
      <c r="S19" s="58"/>
      <c r="T19" s="58"/>
      <c r="U19" s="59"/>
      <c r="V19" s="60"/>
      <c r="W19" s="61"/>
      <c r="X19" s="61"/>
      <c r="Y19" s="61"/>
      <c r="Z19" s="61"/>
      <c r="AA19" s="61"/>
      <c r="AB19" s="61"/>
      <c r="AC19" s="61"/>
      <c r="AD19" s="69"/>
    </row>
    <row r="20" spans="2:30" x14ac:dyDescent="0.25">
      <c r="B20" s="37" t="s">
        <v>42</v>
      </c>
      <c r="C20" s="82">
        <v>71.84778</v>
      </c>
      <c r="E20" s="43" t="s">
        <v>42</v>
      </c>
      <c r="F20" s="47"/>
      <c r="G20" s="48"/>
      <c r="H20" s="48"/>
      <c r="I20" s="48"/>
      <c r="J20" s="48"/>
      <c r="K20" s="48"/>
      <c r="L20" s="48"/>
      <c r="M20" s="48"/>
      <c r="N20" s="49"/>
      <c r="O20" s="66"/>
      <c r="P20" s="64"/>
      <c r="Q20" s="64"/>
      <c r="R20" s="64"/>
      <c r="S20" s="64"/>
      <c r="T20" s="64"/>
      <c r="U20" s="65"/>
      <c r="V20" s="47"/>
      <c r="W20" s="48"/>
      <c r="X20" s="48"/>
      <c r="Y20" s="48"/>
      <c r="Z20" s="48"/>
      <c r="AA20" s="48"/>
      <c r="AB20" s="48"/>
      <c r="AC20" s="48"/>
      <c r="AD20" s="49"/>
    </row>
    <row r="21" spans="2:30" x14ac:dyDescent="0.25">
      <c r="B21" s="38" t="s">
        <v>43</v>
      </c>
      <c r="C21" s="83">
        <v>137.48994999999999</v>
      </c>
      <c r="E21" s="44" t="s">
        <v>43</v>
      </c>
      <c r="F21" s="52"/>
      <c r="G21" s="53"/>
      <c r="H21" s="53"/>
      <c r="I21" s="53"/>
      <c r="J21" s="53"/>
      <c r="K21" s="53"/>
      <c r="L21" s="53"/>
      <c r="M21" s="53"/>
      <c r="N21" s="54"/>
      <c r="O21" s="55"/>
      <c r="P21" s="53"/>
      <c r="Q21" s="53"/>
      <c r="R21" s="53"/>
      <c r="S21" s="53"/>
      <c r="T21" s="53"/>
      <c r="U21" s="56"/>
      <c r="V21" s="52"/>
      <c r="W21" s="53"/>
      <c r="X21" s="53"/>
      <c r="Y21" s="53"/>
      <c r="Z21" s="53"/>
      <c r="AA21" s="53"/>
      <c r="AB21" s="53"/>
      <c r="AC21" s="53"/>
      <c r="AD21" s="54"/>
    </row>
    <row r="22" spans="2:30" x14ac:dyDescent="0.25">
      <c r="B22" s="38" t="s">
        <v>44</v>
      </c>
      <c r="C22" s="83">
        <v>180.23273</v>
      </c>
      <c r="E22" s="44" t="s">
        <v>44</v>
      </c>
      <c r="F22" s="52"/>
      <c r="G22" s="53"/>
      <c r="H22" s="53"/>
      <c r="I22" s="53"/>
      <c r="J22" s="53"/>
      <c r="K22" s="53"/>
      <c r="L22" s="53"/>
      <c r="M22" s="53"/>
      <c r="N22" s="54"/>
      <c r="O22" s="55"/>
      <c r="P22" s="53"/>
      <c r="Q22" s="53"/>
      <c r="R22" s="53"/>
      <c r="S22" s="53"/>
      <c r="T22" s="53"/>
      <c r="U22" s="56"/>
      <c r="V22" s="52"/>
      <c r="W22" s="53"/>
      <c r="X22" s="53"/>
      <c r="Y22" s="53"/>
      <c r="Z22" s="53"/>
      <c r="AA22" s="53"/>
      <c r="AB22" s="53"/>
      <c r="AC22" s="53"/>
      <c r="AD22" s="54"/>
    </row>
    <row r="23" spans="2:30" x14ac:dyDescent="0.25">
      <c r="B23" s="38" t="s">
        <v>45</v>
      </c>
      <c r="C23" s="83">
        <v>210.69001</v>
      </c>
      <c r="E23" s="44" t="s">
        <v>45</v>
      </c>
      <c r="F23" s="52"/>
      <c r="G23" s="53"/>
      <c r="H23" s="53"/>
      <c r="I23" s="53"/>
      <c r="J23" s="53"/>
      <c r="K23" s="53"/>
      <c r="L23" s="53"/>
      <c r="M23" s="53"/>
      <c r="N23" s="54"/>
      <c r="O23" s="55"/>
      <c r="P23" s="53"/>
      <c r="Q23" s="53"/>
      <c r="R23" s="53"/>
      <c r="S23" s="53"/>
      <c r="T23" s="53"/>
      <c r="U23" s="56"/>
      <c r="V23" s="52"/>
      <c r="W23" s="53"/>
      <c r="X23" s="53"/>
      <c r="Y23" s="53"/>
      <c r="Z23" s="53"/>
      <c r="AA23" s="53"/>
      <c r="AB23" s="53"/>
      <c r="AC23" s="53"/>
      <c r="AD23" s="54"/>
    </row>
    <row r="24" spans="2:30" x14ac:dyDescent="0.25">
      <c r="B24" s="38" t="s">
        <v>46</v>
      </c>
      <c r="C24" s="83">
        <v>231.34958</v>
      </c>
      <c r="E24" s="44" t="s">
        <v>46</v>
      </c>
      <c r="F24" s="52"/>
      <c r="G24" s="53"/>
      <c r="H24" s="53"/>
      <c r="I24" s="53"/>
      <c r="J24" s="53"/>
      <c r="K24" s="53"/>
      <c r="L24" s="53"/>
      <c r="M24" s="53"/>
      <c r="N24" s="54"/>
      <c r="O24" s="55"/>
      <c r="P24" s="53"/>
      <c r="Q24" s="53"/>
      <c r="R24" s="53"/>
      <c r="S24" s="53"/>
      <c r="T24" s="53"/>
      <c r="U24" s="56"/>
      <c r="V24" s="52"/>
      <c r="W24" s="53"/>
      <c r="X24" s="53"/>
      <c r="Y24" s="53"/>
      <c r="Z24" s="53"/>
      <c r="AA24" s="53"/>
      <c r="AB24" s="53"/>
      <c r="AC24" s="53"/>
      <c r="AD24" s="54"/>
    </row>
    <row r="25" spans="2:30" x14ac:dyDescent="0.25">
      <c r="B25" s="38" t="s">
        <v>47</v>
      </c>
      <c r="C25" s="83">
        <v>268.73602</v>
      </c>
      <c r="E25" s="44" t="s">
        <v>47</v>
      </c>
      <c r="F25" s="52"/>
      <c r="G25" s="53"/>
      <c r="H25" s="53"/>
      <c r="I25" s="53"/>
      <c r="J25" s="53"/>
      <c r="K25" s="53"/>
      <c r="L25" s="53"/>
      <c r="M25" s="53"/>
      <c r="N25" s="54"/>
      <c r="O25" s="55"/>
      <c r="P25" s="53"/>
      <c r="Q25" s="53"/>
      <c r="R25" s="53"/>
      <c r="S25" s="53"/>
      <c r="T25" s="53"/>
      <c r="U25" s="56"/>
      <c r="V25" s="52"/>
      <c r="W25" s="53"/>
      <c r="X25" s="53"/>
      <c r="Y25" s="53"/>
      <c r="Z25" s="53"/>
      <c r="AA25" s="53"/>
      <c r="AB25" s="53"/>
      <c r="AC25" s="53"/>
      <c r="AD25" s="54"/>
    </row>
    <row r="26" spans="2:30" x14ac:dyDescent="0.25">
      <c r="B26" s="38" t="s">
        <v>48</v>
      </c>
      <c r="C26" s="83">
        <v>300.39652000000001</v>
      </c>
      <c r="E26" s="44" t="s">
        <v>48</v>
      </c>
      <c r="F26" s="52"/>
      <c r="G26" s="53"/>
      <c r="H26" s="53"/>
      <c r="I26" s="53"/>
      <c r="J26" s="53"/>
      <c r="K26" s="53"/>
      <c r="L26" s="53"/>
      <c r="M26" s="53"/>
      <c r="N26" s="54"/>
      <c r="O26" s="55"/>
      <c r="P26" s="53"/>
      <c r="Q26" s="53"/>
      <c r="R26" s="53"/>
      <c r="S26" s="53"/>
      <c r="T26" s="53"/>
      <c r="U26" s="56"/>
      <c r="V26" s="52"/>
      <c r="W26" s="53"/>
      <c r="X26" s="53"/>
      <c r="Y26" s="53"/>
      <c r="Z26" s="53"/>
      <c r="AA26" s="53"/>
      <c r="AB26" s="53"/>
      <c r="AC26" s="53"/>
      <c r="AD26" s="54"/>
    </row>
    <row r="27" spans="2:30" x14ac:dyDescent="0.25">
      <c r="B27" s="38" t="s">
        <v>49</v>
      </c>
      <c r="C27" s="83">
        <v>320.51218999999998</v>
      </c>
      <c r="E27" s="44" t="s">
        <v>49</v>
      </c>
      <c r="F27" s="52"/>
      <c r="G27" s="53"/>
      <c r="H27" s="53"/>
      <c r="I27" s="53"/>
      <c r="J27" s="53"/>
      <c r="K27" s="53"/>
      <c r="L27" s="53"/>
      <c r="M27" s="53"/>
      <c r="N27" s="54"/>
      <c r="O27" s="55"/>
      <c r="P27" s="53"/>
      <c r="Q27" s="53"/>
      <c r="R27" s="53"/>
      <c r="S27" s="53"/>
      <c r="T27" s="53"/>
      <c r="U27" s="56"/>
      <c r="V27" s="52"/>
      <c r="W27" s="53"/>
      <c r="X27" s="53"/>
      <c r="Y27" s="53"/>
      <c r="Z27" s="53"/>
      <c r="AA27" s="53"/>
      <c r="AB27" s="53"/>
      <c r="AC27" s="53"/>
      <c r="AD27" s="54"/>
    </row>
    <row r="28" spans="2:30" ht="15.75" thickBot="1" x14ac:dyDescent="0.3">
      <c r="B28" s="39" t="s">
        <v>50</v>
      </c>
      <c r="C28" s="84">
        <v>361.42469</v>
      </c>
      <c r="E28" s="45" t="s">
        <v>50</v>
      </c>
      <c r="F28" s="57"/>
      <c r="G28" s="58"/>
      <c r="H28" s="58"/>
      <c r="I28" s="58"/>
      <c r="J28" s="58"/>
      <c r="K28" s="58"/>
      <c r="L28" s="58"/>
      <c r="M28" s="58"/>
      <c r="N28" s="59"/>
      <c r="O28" s="70"/>
      <c r="P28" s="58"/>
      <c r="Q28" s="58"/>
      <c r="R28" s="58"/>
      <c r="S28" s="58"/>
      <c r="T28" s="58"/>
      <c r="U28" s="71"/>
      <c r="V28" s="57"/>
      <c r="W28" s="58"/>
      <c r="X28" s="58"/>
      <c r="Y28" s="58"/>
      <c r="Z28" s="58"/>
      <c r="AA28" s="58"/>
      <c r="AB28" s="58"/>
      <c r="AC28" s="58"/>
      <c r="AD28" s="59"/>
    </row>
    <row r="29" spans="2:30" x14ac:dyDescent="0.25">
      <c r="C29" s="40"/>
      <c r="E29" s="35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</row>
    <row r="30" spans="2:30" x14ac:dyDescent="0.25">
      <c r="C30" s="40"/>
      <c r="E30" s="31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</row>
    <row r="31" spans="2:30" x14ac:dyDescent="0.25">
      <c r="C31" s="40"/>
      <c r="E31" s="31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3" spans="1:30" x14ac:dyDescent="0.25">
      <c r="A33" s="72" t="s">
        <v>97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</row>
    <row r="34" spans="1:30" ht="97.5" thickBot="1" x14ac:dyDescent="0.3">
      <c r="B34" s="41" t="s">
        <v>74</v>
      </c>
      <c r="C34" s="41"/>
      <c r="E34" s="42" t="s">
        <v>75</v>
      </c>
      <c r="F34" s="46" t="s">
        <v>20</v>
      </c>
      <c r="G34" s="46" t="s">
        <v>21</v>
      </c>
      <c r="H34" s="46" t="s">
        <v>22</v>
      </c>
      <c r="I34" s="46" t="s">
        <v>34</v>
      </c>
      <c r="J34" s="46" t="s">
        <v>30</v>
      </c>
      <c r="K34" s="46" t="s">
        <v>29</v>
      </c>
      <c r="L34" s="46" t="s">
        <v>18</v>
      </c>
      <c r="M34" s="46" t="s">
        <v>196</v>
      </c>
      <c r="N34" s="46" t="s">
        <v>23</v>
      </c>
      <c r="O34" s="46" t="s">
        <v>35</v>
      </c>
      <c r="P34" s="46" t="s">
        <v>36</v>
      </c>
      <c r="Q34" s="46" t="s">
        <v>37</v>
      </c>
      <c r="R34" s="46" t="s">
        <v>38</v>
      </c>
      <c r="S34" s="46" t="s">
        <v>39</v>
      </c>
      <c r="T34" s="46" t="s">
        <v>40</v>
      </c>
      <c r="U34" s="46" t="s">
        <v>41</v>
      </c>
      <c r="V34" s="46" t="s">
        <v>42</v>
      </c>
      <c r="W34" s="46" t="s">
        <v>43</v>
      </c>
      <c r="X34" s="46" t="s">
        <v>44</v>
      </c>
      <c r="Y34" s="46" t="s">
        <v>45</v>
      </c>
      <c r="Z34" s="46" t="s">
        <v>46</v>
      </c>
      <c r="AA34" s="46" t="s">
        <v>47</v>
      </c>
      <c r="AB34" s="46" t="s">
        <v>48</v>
      </c>
      <c r="AC34" s="46" t="s">
        <v>49</v>
      </c>
      <c r="AD34" s="46" t="s">
        <v>50</v>
      </c>
    </row>
    <row r="35" spans="1:30" x14ac:dyDescent="0.25">
      <c r="B35" s="37" t="s">
        <v>20</v>
      </c>
      <c r="C35" s="85">
        <f>C4</f>
        <v>3</v>
      </c>
      <c r="E35" s="37" t="s">
        <v>20</v>
      </c>
      <c r="F35" s="130"/>
      <c r="G35" s="131"/>
      <c r="H35" s="131"/>
      <c r="I35" s="131"/>
      <c r="J35" s="131"/>
      <c r="K35" s="131"/>
      <c r="L35" s="132"/>
      <c r="M35" s="132"/>
      <c r="N35" s="133"/>
      <c r="O35" s="134"/>
      <c r="P35" s="131"/>
      <c r="Q35" s="131"/>
      <c r="R35" s="131"/>
      <c r="S35" s="131"/>
      <c r="T35" s="131"/>
      <c r="U35" s="135"/>
      <c r="V35" s="130"/>
      <c r="W35" s="131"/>
      <c r="X35" s="131"/>
      <c r="Y35" s="131"/>
      <c r="Z35" s="131"/>
      <c r="AA35" s="131"/>
      <c r="AB35" s="131"/>
      <c r="AC35" s="131"/>
      <c r="AD35" s="133"/>
    </row>
    <row r="36" spans="1:30" x14ac:dyDescent="0.25">
      <c r="B36" s="38" t="s">
        <v>21</v>
      </c>
      <c r="C36" s="86">
        <f t="shared" ref="C36:C59" si="0">C5</f>
        <v>242</v>
      </c>
      <c r="E36" s="38" t="s">
        <v>21</v>
      </c>
      <c r="F36" s="136"/>
      <c r="G36" s="137"/>
      <c r="H36" s="137">
        <f>C37-C36</f>
        <v>95</v>
      </c>
      <c r="I36" s="137"/>
      <c r="J36" s="137"/>
      <c r="K36" s="138"/>
      <c r="L36" s="137"/>
      <c r="M36" s="137">
        <f>C42-C36</f>
        <v>92</v>
      </c>
      <c r="N36" s="139"/>
      <c r="O36" s="140">
        <f t="array" ref="O36:U36">C36-TRANSPOSE(C44:C50)</f>
        <v>218</v>
      </c>
      <c r="P36" s="137">
        <v>164</v>
      </c>
      <c r="Q36" s="137">
        <v>109</v>
      </c>
      <c r="R36" s="137">
        <v>57</v>
      </c>
      <c r="S36" s="137">
        <v>40</v>
      </c>
      <c r="T36" s="137">
        <v>20</v>
      </c>
      <c r="U36" s="138">
        <v>241.95</v>
      </c>
      <c r="V36" s="136"/>
      <c r="W36" s="137"/>
      <c r="X36" s="137"/>
      <c r="Y36" s="137"/>
      <c r="Z36" s="137"/>
      <c r="AA36" s="137"/>
      <c r="AB36" s="137"/>
      <c r="AC36" s="137"/>
      <c r="AD36" s="141"/>
    </row>
    <row r="37" spans="1:30" x14ac:dyDescent="0.25">
      <c r="B37" s="38" t="s">
        <v>22</v>
      </c>
      <c r="C37" s="86">
        <f t="shared" si="0"/>
        <v>337</v>
      </c>
      <c r="E37" s="38" t="s">
        <v>22</v>
      </c>
      <c r="F37" s="136"/>
      <c r="G37" s="142">
        <f>H36</f>
        <v>95</v>
      </c>
      <c r="H37" s="137"/>
      <c r="I37" s="137"/>
      <c r="J37" s="137"/>
      <c r="K37" s="138"/>
      <c r="L37" s="137"/>
      <c r="M37" s="137">
        <f>C37-C42</f>
        <v>3</v>
      </c>
      <c r="N37" s="139"/>
      <c r="O37" s="140">
        <f t="array" ref="O37:U37">C37-TRANSPOSE(C44:C50)</f>
        <v>313</v>
      </c>
      <c r="P37" s="137">
        <v>259</v>
      </c>
      <c r="Q37" s="137">
        <v>204</v>
      </c>
      <c r="R37" s="137">
        <v>152</v>
      </c>
      <c r="S37" s="137">
        <v>135</v>
      </c>
      <c r="T37" s="137">
        <v>115</v>
      </c>
      <c r="U37" s="138">
        <v>336.95</v>
      </c>
      <c r="V37" s="136"/>
      <c r="W37" s="137"/>
      <c r="X37" s="137"/>
      <c r="Y37" s="137"/>
      <c r="Z37" s="137"/>
      <c r="AA37" s="137"/>
      <c r="AB37" s="137"/>
      <c r="AC37" s="137"/>
      <c r="AD37" s="141"/>
    </row>
    <row r="38" spans="1:30" x14ac:dyDescent="0.25">
      <c r="B38" s="38" t="s">
        <v>34</v>
      </c>
      <c r="C38" s="86">
        <f t="shared" si="0"/>
        <v>46</v>
      </c>
      <c r="E38" s="38" t="s">
        <v>34</v>
      </c>
      <c r="F38" s="136"/>
      <c r="G38" s="137"/>
      <c r="H38" s="137"/>
      <c r="I38" s="137"/>
      <c r="J38" s="137">
        <f>C38-C39</f>
        <v>10</v>
      </c>
      <c r="K38" s="137"/>
      <c r="L38" s="143"/>
      <c r="M38" s="143"/>
      <c r="N38" s="141"/>
      <c r="O38" s="140"/>
      <c r="P38" s="137"/>
      <c r="Q38" s="137"/>
      <c r="R38" s="137"/>
      <c r="S38" s="137"/>
      <c r="T38" s="137"/>
      <c r="U38" s="138"/>
      <c r="V38" s="136"/>
      <c r="W38" s="137"/>
      <c r="X38" s="137"/>
      <c r="Y38" s="137"/>
      <c r="Z38" s="137"/>
      <c r="AA38" s="137"/>
      <c r="AB38" s="137"/>
      <c r="AC38" s="137"/>
      <c r="AD38" s="141"/>
    </row>
    <row r="39" spans="1:30" x14ac:dyDescent="0.25">
      <c r="B39" s="38" t="s">
        <v>30</v>
      </c>
      <c r="C39" s="86">
        <f t="shared" si="0"/>
        <v>36</v>
      </c>
      <c r="E39" s="38" t="s">
        <v>30</v>
      </c>
      <c r="F39" s="136"/>
      <c r="G39" s="137"/>
      <c r="H39" s="137"/>
      <c r="I39" s="142">
        <f>J38</f>
        <v>10</v>
      </c>
      <c r="J39" s="137"/>
      <c r="K39" s="137"/>
      <c r="L39" s="137"/>
      <c r="M39" s="137"/>
      <c r="N39" s="141"/>
      <c r="O39" s="140"/>
      <c r="P39" s="137"/>
      <c r="Q39" s="137"/>
      <c r="R39" s="137"/>
      <c r="S39" s="137"/>
      <c r="T39" s="137"/>
      <c r="U39" s="138"/>
      <c r="V39" s="136"/>
      <c r="W39" s="137"/>
      <c r="X39" s="137"/>
      <c r="Y39" s="137"/>
      <c r="Z39" s="137"/>
      <c r="AA39" s="137"/>
      <c r="AB39" s="137"/>
      <c r="AC39" s="137"/>
      <c r="AD39" s="141"/>
    </row>
    <row r="40" spans="1:30" x14ac:dyDescent="0.25">
      <c r="B40" s="38" t="s">
        <v>29</v>
      </c>
      <c r="C40" s="86">
        <f t="shared" si="0"/>
        <v>238</v>
      </c>
      <c r="E40" s="38" t="s">
        <v>29</v>
      </c>
      <c r="F40" s="136"/>
      <c r="G40" s="137"/>
      <c r="H40" s="137"/>
      <c r="I40" s="137"/>
      <c r="J40" s="137"/>
      <c r="K40" s="137"/>
      <c r="L40" s="137">
        <f>C41-C40</f>
        <v>143.59447</v>
      </c>
      <c r="M40" s="137"/>
      <c r="N40" s="141"/>
      <c r="O40" s="140"/>
      <c r="P40" s="137"/>
      <c r="Q40" s="137"/>
      <c r="R40" s="137"/>
      <c r="S40" s="137"/>
      <c r="T40" s="137"/>
      <c r="U40" s="138"/>
      <c r="V40" s="136">
        <f t="array" ref="V40:Y40">C40-TRANSPOSE(C51:C54)</f>
        <v>166.15222</v>
      </c>
      <c r="W40" s="137">
        <v>100.51005000000001</v>
      </c>
      <c r="X40" s="137">
        <v>57.767269999999996</v>
      </c>
      <c r="Y40" s="137">
        <v>27.309989999999999</v>
      </c>
      <c r="Z40" s="137">
        <f t="array" ref="Z40:AD40">TRANSPOSE(C55:C59)+C40-2*C54</f>
        <v>47.969560000000001</v>
      </c>
      <c r="AA40" s="137">
        <v>85.355999999999995</v>
      </c>
      <c r="AB40" s="137">
        <v>117.01650000000001</v>
      </c>
      <c r="AC40" s="137">
        <v>137.13216999999992</v>
      </c>
      <c r="AD40" s="141">
        <v>178.04467000000005</v>
      </c>
    </row>
    <row r="41" spans="1:30" x14ac:dyDescent="0.25">
      <c r="B41" s="38" t="s">
        <v>18</v>
      </c>
      <c r="C41" s="86">
        <f t="shared" si="0"/>
        <v>381.59447</v>
      </c>
      <c r="E41" s="38" t="s">
        <v>18</v>
      </c>
      <c r="F41" s="136"/>
      <c r="G41" s="144"/>
      <c r="H41" s="144"/>
      <c r="I41" s="137"/>
      <c r="J41" s="137"/>
      <c r="K41" s="142">
        <f>L40</f>
        <v>143.59447</v>
      </c>
      <c r="L41" s="137"/>
      <c r="M41" s="137"/>
      <c r="N41" s="141"/>
      <c r="O41" s="140"/>
      <c r="P41" s="137"/>
      <c r="Q41" s="137"/>
      <c r="R41" s="137"/>
      <c r="S41" s="137"/>
      <c r="T41" s="137"/>
      <c r="U41" s="138"/>
      <c r="V41" s="136">
        <f t="array" ref="V41:AD41">C41-TRANSPOSE(C51:C59)</f>
        <v>309.74669</v>
      </c>
      <c r="W41" s="137">
        <v>244.10452000000001</v>
      </c>
      <c r="X41" s="137">
        <v>201.36174</v>
      </c>
      <c r="Y41" s="137">
        <v>170.90446</v>
      </c>
      <c r="Z41" s="137">
        <v>150.24489</v>
      </c>
      <c r="AA41" s="137">
        <v>112.85845</v>
      </c>
      <c r="AB41" s="137">
        <v>81.197949999999992</v>
      </c>
      <c r="AC41" s="137">
        <v>61.082280000000026</v>
      </c>
      <c r="AD41" s="141">
        <v>20.169780000000003</v>
      </c>
    </row>
    <row r="42" spans="1:30" x14ac:dyDescent="0.25">
      <c r="B42" s="38" t="s">
        <v>196</v>
      </c>
      <c r="C42" s="86">
        <f t="shared" si="0"/>
        <v>334</v>
      </c>
      <c r="E42" s="38" t="s">
        <v>196</v>
      </c>
      <c r="F42" s="145"/>
      <c r="G42" s="142">
        <f>M36</f>
        <v>92</v>
      </c>
      <c r="H42" s="142">
        <f>M37</f>
        <v>3</v>
      </c>
      <c r="I42" s="140"/>
      <c r="J42" s="137"/>
      <c r="K42" s="137"/>
      <c r="L42" s="137"/>
      <c r="M42" s="137"/>
      <c r="N42" s="141"/>
      <c r="O42" s="146">
        <f>C42-C44</f>
        <v>310</v>
      </c>
      <c r="P42" s="137"/>
      <c r="Q42" s="137"/>
      <c r="R42" s="137"/>
      <c r="S42" s="137"/>
      <c r="T42" s="137"/>
      <c r="U42" s="138"/>
      <c r="V42" s="136"/>
      <c r="W42" s="137"/>
      <c r="X42" s="137"/>
      <c r="Y42" s="137"/>
      <c r="Z42" s="137"/>
      <c r="AA42" s="137"/>
      <c r="AB42" s="137"/>
      <c r="AC42" s="137"/>
      <c r="AD42" s="141"/>
    </row>
    <row r="43" spans="1:30" ht="15.75" thickBot="1" x14ac:dyDescent="0.3">
      <c r="B43" s="39" t="s">
        <v>23</v>
      </c>
      <c r="C43" s="87">
        <f t="shared" si="0"/>
        <v>2</v>
      </c>
      <c r="E43" s="39" t="s">
        <v>23</v>
      </c>
      <c r="F43" s="147"/>
      <c r="G43" s="148"/>
      <c r="H43" s="148"/>
      <c r="I43" s="149"/>
      <c r="J43" s="149"/>
      <c r="K43" s="149"/>
      <c r="L43" s="149"/>
      <c r="M43" s="149"/>
      <c r="N43" s="150"/>
      <c r="O43" s="146"/>
      <c r="P43" s="144"/>
      <c r="Q43" s="144"/>
      <c r="R43" s="144"/>
      <c r="S43" s="144"/>
      <c r="T43" s="144"/>
      <c r="U43" s="151"/>
      <c r="V43" s="147"/>
      <c r="W43" s="149"/>
      <c r="X43" s="149"/>
      <c r="Y43" s="149"/>
      <c r="Z43" s="149"/>
      <c r="AA43" s="149"/>
      <c r="AB43" s="149"/>
      <c r="AC43" s="149"/>
      <c r="AD43" s="150"/>
    </row>
    <row r="44" spans="1:30" x14ac:dyDescent="0.25">
      <c r="B44" s="37" t="s">
        <v>35</v>
      </c>
      <c r="C44" s="86">
        <f t="shared" si="0"/>
        <v>24</v>
      </c>
      <c r="E44" s="37" t="s">
        <v>35</v>
      </c>
      <c r="F44" s="152"/>
      <c r="G44" s="153">
        <f>O36</f>
        <v>218</v>
      </c>
      <c r="H44" s="153">
        <f>O37</f>
        <v>313</v>
      </c>
      <c r="I44" s="143"/>
      <c r="J44" s="143"/>
      <c r="K44" s="143"/>
      <c r="L44" s="143"/>
      <c r="M44" s="154">
        <f>O42</f>
        <v>310</v>
      </c>
      <c r="N44" s="154"/>
      <c r="O44" s="130"/>
      <c r="P44" s="131">
        <f t="array" ref="P44:T44">TRANSPOSE(C45:C49)-C44</f>
        <v>54</v>
      </c>
      <c r="Q44" s="131">
        <v>109</v>
      </c>
      <c r="R44" s="131">
        <v>161</v>
      </c>
      <c r="S44" s="131">
        <v>178</v>
      </c>
      <c r="T44" s="131">
        <v>198</v>
      </c>
      <c r="U44" s="155">
        <f>O50</f>
        <v>24</v>
      </c>
      <c r="V44" s="156"/>
      <c r="W44" s="143"/>
      <c r="X44" s="143"/>
      <c r="Y44" s="143"/>
      <c r="Z44" s="143"/>
      <c r="AA44" s="143"/>
      <c r="AB44" s="143"/>
      <c r="AC44" s="143"/>
      <c r="AD44" s="157"/>
    </row>
    <row r="45" spans="1:30" x14ac:dyDescent="0.25">
      <c r="B45" s="38" t="s">
        <v>36</v>
      </c>
      <c r="C45" s="86">
        <f t="shared" si="0"/>
        <v>78</v>
      </c>
      <c r="E45" s="44" t="s">
        <v>36</v>
      </c>
      <c r="F45" s="158"/>
      <c r="G45" s="159"/>
      <c r="H45" s="159"/>
      <c r="I45" s="159"/>
      <c r="J45" s="159"/>
      <c r="K45" s="159"/>
      <c r="L45" s="159"/>
      <c r="M45" s="159"/>
      <c r="N45" s="160"/>
      <c r="O45" s="158"/>
      <c r="P45" s="159"/>
      <c r="Q45" s="159"/>
      <c r="R45" s="159"/>
      <c r="S45" s="159"/>
      <c r="T45" s="159"/>
      <c r="U45" s="161"/>
      <c r="V45" s="162"/>
      <c r="W45" s="159"/>
      <c r="X45" s="159"/>
      <c r="Y45" s="159"/>
      <c r="Z45" s="159"/>
      <c r="AA45" s="159"/>
      <c r="AB45" s="159"/>
      <c r="AC45" s="159"/>
      <c r="AD45" s="161"/>
    </row>
    <row r="46" spans="1:30" x14ac:dyDescent="0.25">
      <c r="B46" s="38" t="s">
        <v>37</v>
      </c>
      <c r="C46" s="86">
        <f t="shared" si="0"/>
        <v>133</v>
      </c>
      <c r="E46" s="44" t="s">
        <v>37</v>
      </c>
      <c r="F46" s="158"/>
      <c r="G46" s="159"/>
      <c r="H46" s="159"/>
      <c r="I46" s="159"/>
      <c r="J46" s="159"/>
      <c r="K46" s="159"/>
      <c r="L46" s="159"/>
      <c r="M46" s="159"/>
      <c r="N46" s="160"/>
      <c r="O46" s="158"/>
      <c r="P46" s="159"/>
      <c r="Q46" s="159"/>
      <c r="R46" s="159"/>
      <c r="S46" s="159"/>
      <c r="T46" s="159"/>
      <c r="U46" s="161"/>
      <c r="V46" s="162"/>
      <c r="W46" s="159"/>
      <c r="X46" s="159"/>
      <c r="Y46" s="159"/>
      <c r="Z46" s="159"/>
      <c r="AA46" s="159"/>
      <c r="AB46" s="159"/>
      <c r="AC46" s="159"/>
      <c r="AD46" s="161"/>
    </row>
    <row r="47" spans="1:30" x14ac:dyDescent="0.25">
      <c r="B47" s="38" t="s">
        <v>38</v>
      </c>
      <c r="C47" s="86">
        <f t="shared" si="0"/>
        <v>185</v>
      </c>
      <c r="E47" s="44" t="s">
        <v>38</v>
      </c>
      <c r="F47" s="158"/>
      <c r="G47" s="159"/>
      <c r="H47" s="159"/>
      <c r="I47" s="159"/>
      <c r="J47" s="159"/>
      <c r="K47" s="159"/>
      <c r="L47" s="159"/>
      <c r="M47" s="159"/>
      <c r="N47" s="160"/>
      <c r="O47" s="158"/>
      <c r="P47" s="159"/>
      <c r="Q47" s="159"/>
      <c r="R47" s="159"/>
      <c r="S47" s="159"/>
      <c r="T47" s="159"/>
      <c r="U47" s="161"/>
      <c r="V47" s="162"/>
      <c r="W47" s="159"/>
      <c r="X47" s="159"/>
      <c r="Y47" s="159"/>
      <c r="Z47" s="159"/>
      <c r="AA47" s="159"/>
      <c r="AB47" s="159"/>
      <c r="AC47" s="159"/>
      <c r="AD47" s="161"/>
    </row>
    <row r="48" spans="1:30" x14ac:dyDescent="0.25">
      <c r="B48" s="38" t="s">
        <v>39</v>
      </c>
      <c r="C48" s="86">
        <f t="shared" si="0"/>
        <v>202</v>
      </c>
      <c r="E48" s="44" t="s">
        <v>39</v>
      </c>
      <c r="F48" s="158"/>
      <c r="G48" s="159"/>
      <c r="H48" s="159"/>
      <c r="I48" s="159"/>
      <c r="J48" s="159"/>
      <c r="K48" s="159"/>
      <c r="L48" s="159"/>
      <c r="M48" s="159"/>
      <c r="N48" s="160"/>
      <c r="O48" s="158"/>
      <c r="P48" s="159"/>
      <c r="Q48" s="159"/>
      <c r="R48" s="159"/>
      <c r="S48" s="159"/>
      <c r="T48" s="159"/>
      <c r="U48" s="161"/>
      <c r="V48" s="162"/>
      <c r="W48" s="159"/>
      <c r="X48" s="159"/>
      <c r="Y48" s="159"/>
      <c r="Z48" s="159"/>
      <c r="AA48" s="159"/>
      <c r="AB48" s="159"/>
      <c r="AC48" s="159"/>
      <c r="AD48" s="161"/>
    </row>
    <row r="49" spans="1:30" x14ac:dyDescent="0.25">
      <c r="B49" s="38" t="s">
        <v>40</v>
      </c>
      <c r="C49" s="86">
        <f t="shared" si="0"/>
        <v>222</v>
      </c>
      <c r="E49" s="44" t="s">
        <v>40</v>
      </c>
      <c r="F49" s="158"/>
      <c r="G49" s="159"/>
      <c r="H49" s="159"/>
      <c r="I49" s="159"/>
      <c r="J49" s="159"/>
      <c r="K49" s="159"/>
      <c r="L49" s="159"/>
      <c r="M49" s="159"/>
      <c r="N49" s="160"/>
      <c r="O49" s="158"/>
      <c r="P49" s="159"/>
      <c r="Q49" s="159"/>
      <c r="R49" s="159"/>
      <c r="S49" s="159"/>
      <c r="T49" s="159"/>
      <c r="U49" s="161"/>
      <c r="V49" s="162"/>
      <c r="W49" s="159"/>
      <c r="X49" s="159"/>
      <c r="Y49" s="159"/>
      <c r="Z49" s="159"/>
      <c r="AA49" s="159"/>
      <c r="AB49" s="159"/>
      <c r="AC49" s="159"/>
      <c r="AD49" s="161"/>
    </row>
    <row r="50" spans="1:30" ht="15.75" thickBot="1" x14ac:dyDescent="0.3">
      <c r="B50" s="39" t="s">
        <v>41</v>
      </c>
      <c r="C50" s="86">
        <f t="shared" si="0"/>
        <v>0.05</v>
      </c>
      <c r="E50" s="45" t="s">
        <v>41</v>
      </c>
      <c r="F50" s="163"/>
      <c r="G50" s="144"/>
      <c r="H50" s="144"/>
      <c r="I50" s="144"/>
      <c r="J50" s="144"/>
      <c r="K50" s="144"/>
      <c r="L50" s="144"/>
      <c r="M50" s="144"/>
      <c r="N50" s="151"/>
      <c r="O50" s="164">
        <f t="array" ref="O50:T50">TRANSPOSE(C44:C49)</f>
        <v>24</v>
      </c>
      <c r="P50" s="149">
        <v>78</v>
      </c>
      <c r="Q50" s="149">
        <v>133</v>
      </c>
      <c r="R50" s="149">
        <v>185</v>
      </c>
      <c r="S50" s="149">
        <v>202</v>
      </c>
      <c r="T50" s="149">
        <v>222</v>
      </c>
      <c r="U50" s="150"/>
      <c r="V50" s="146"/>
      <c r="W50" s="144"/>
      <c r="X50" s="144"/>
      <c r="Y50" s="144"/>
      <c r="Z50" s="144"/>
      <c r="AA50" s="144"/>
      <c r="AB50" s="144"/>
      <c r="AC50" s="144"/>
      <c r="AD50" s="165"/>
    </row>
    <row r="51" spans="1:30" x14ac:dyDescent="0.25">
      <c r="B51" s="37" t="s">
        <v>42</v>
      </c>
      <c r="C51" s="85">
        <f t="shared" si="0"/>
        <v>71.84778</v>
      </c>
      <c r="E51" s="43" t="s">
        <v>42</v>
      </c>
      <c r="F51" s="166"/>
      <c r="G51" s="167"/>
      <c r="H51" s="167"/>
      <c r="I51" s="167"/>
      <c r="J51" s="167"/>
      <c r="K51" s="167"/>
      <c r="L51" s="167"/>
      <c r="M51" s="167"/>
      <c r="N51" s="168"/>
      <c r="O51" s="169"/>
      <c r="P51" s="170"/>
      <c r="Q51" s="170"/>
      <c r="R51" s="170"/>
      <c r="S51" s="170"/>
      <c r="T51" s="170"/>
      <c r="U51" s="171"/>
      <c r="V51" s="166"/>
      <c r="W51" s="167"/>
      <c r="X51" s="167"/>
      <c r="Y51" s="167"/>
      <c r="Z51" s="167"/>
      <c r="AA51" s="167"/>
      <c r="AB51" s="167"/>
      <c r="AC51" s="167"/>
      <c r="AD51" s="168"/>
    </row>
    <row r="52" spans="1:30" x14ac:dyDescent="0.25">
      <c r="B52" s="38" t="s">
        <v>43</v>
      </c>
      <c r="C52" s="86">
        <f t="shared" si="0"/>
        <v>137.48994999999999</v>
      </c>
      <c r="E52" s="44" t="s">
        <v>43</v>
      </c>
      <c r="F52" s="158"/>
      <c r="G52" s="159"/>
      <c r="H52" s="159"/>
      <c r="I52" s="159"/>
      <c r="J52" s="159"/>
      <c r="K52" s="159"/>
      <c r="L52" s="159"/>
      <c r="M52" s="159"/>
      <c r="N52" s="161"/>
      <c r="O52" s="162"/>
      <c r="P52" s="159"/>
      <c r="Q52" s="159"/>
      <c r="R52" s="159"/>
      <c r="S52" s="159"/>
      <c r="T52" s="159"/>
      <c r="U52" s="160"/>
      <c r="V52" s="158"/>
      <c r="W52" s="159"/>
      <c r="X52" s="159"/>
      <c r="Y52" s="159"/>
      <c r="Z52" s="159"/>
      <c r="AA52" s="159"/>
      <c r="AB52" s="159"/>
      <c r="AC52" s="159"/>
      <c r="AD52" s="161"/>
    </row>
    <row r="53" spans="1:30" x14ac:dyDescent="0.25">
      <c r="B53" s="38" t="s">
        <v>44</v>
      </c>
      <c r="C53" s="86">
        <f t="shared" si="0"/>
        <v>180.23273</v>
      </c>
      <c r="E53" s="44" t="s">
        <v>44</v>
      </c>
      <c r="F53" s="158"/>
      <c r="G53" s="159"/>
      <c r="H53" s="159"/>
      <c r="I53" s="159"/>
      <c r="J53" s="159"/>
      <c r="K53" s="159"/>
      <c r="L53" s="159"/>
      <c r="M53" s="159"/>
      <c r="N53" s="161"/>
      <c r="O53" s="162"/>
      <c r="P53" s="159"/>
      <c r="Q53" s="159"/>
      <c r="R53" s="159"/>
      <c r="S53" s="159"/>
      <c r="T53" s="159"/>
      <c r="U53" s="160"/>
      <c r="V53" s="158"/>
      <c r="W53" s="159"/>
      <c r="X53" s="159"/>
      <c r="Y53" s="159"/>
      <c r="Z53" s="159"/>
      <c r="AA53" s="159"/>
      <c r="AB53" s="159"/>
      <c r="AC53" s="159"/>
      <c r="AD53" s="161"/>
    </row>
    <row r="54" spans="1:30" x14ac:dyDescent="0.25">
      <c r="B54" s="38" t="s">
        <v>45</v>
      </c>
      <c r="C54" s="86">
        <f t="shared" si="0"/>
        <v>210.69001</v>
      </c>
      <c r="E54" s="44" t="s">
        <v>45</v>
      </c>
      <c r="F54" s="158"/>
      <c r="G54" s="159"/>
      <c r="H54" s="159"/>
      <c r="I54" s="159"/>
      <c r="J54" s="159"/>
      <c r="K54" s="159"/>
      <c r="L54" s="159"/>
      <c r="M54" s="159"/>
      <c r="N54" s="161"/>
      <c r="O54" s="162"/>
      <c r="P54" s="159"/>
      <c r="Q54" s="159"/>
      <c r="R54" s="159"/>
      <c r="S54" s="159"/>
      <c r="T54" s="159"/>
      <c r="U54" s="160"/>
      <c r="V54" s="158"/>
      <c r="W54" s="159"/>
      <c r="X54" s="159"/>
      <c r="Y54" s="159"/>
      <c r="Z54" s="159"/>
      <c r="AA54" s="159"/>
      <c r="AB54" s="159"/>
      <c r="AC54" s="159"/>
      <c r="AD54" s="161"/>
    </row>
    <row r="55" spans="1:30" x14ac:dyDescent="0.25">
      <c r="B55" s="38" t="s">
        <v>46</v>
      </c>
      <c r="C55" s="86">
        <f t="shared" si="0"/>
        <v>231.34958</v>
      </c>
      <c r="E55" s="44" t="s">
        <v>46</v>
      </c>
      <c r="F55" s="158"/>
      <c r="G55" s="159"/>
      <c r="H55" s="159"/>
      <c r="I55" s="159"/>
      <c r="J55" s="159"/>
      <c r="K55" s="159"/>
      <c r="L55" s="159"/>
      <c r="M55" s="159"/>
      <c r="N55" s="161"/>
      <c r="O55" s="162"/>
      <c r="P55" s="159"/>
      <c r="Q55" s="159"/>
      <c r="R55" s="159"/>
      <c r="S55" s="159"/>
      <c r="T55" s="159"/>
      <c r="U55" s="160"/>
      <c r="V55" s="158"/>
      <c r="W55" s="159"/>
      <c r="X55" s="159"/>
      <c r="Y55" s="159"/>
      <c r="Z55" s="159"/>
      <c r="AA55" s="159"/>
      <c r="AB55" s="159"/>
      <c r="AC55" s="159"/>
      <c r="AD55" s="161"/>
    </row>
    <row r="56" spans="1:30" x14ac:dyDescent="0.25">
      <c r="B56" s="38" t="s">
        <v>47</v>
      </c>
      <c r="C56" s="86">
        <f t="shared" si="0"/>
        <v>268.73602</v>
      </c>
      <c r="E56" s="44" t="s">
        <v>47</v>
      </c>
      <c r="F56" s="158"/>
      <c r="G56" s="159"/>
      <c r="H56" s="159"/>
      <c r="I56" s="159"/>
      <c r="J56" s="159"/>
      <c r="K56" s="159"/>
      <c r="L56" s="159"/>
      <c r="M56" s="159"/>
      <c r="N56" s="161"/>
      <c r="O56" s="162"/>
      <c r="P56" s="159"/>
      <c r="Q56" s="159"/>
      <c r="R56" s="159"/>
      <c r="S56" s="159"/>
      <c r="T56" s="159"/>
      <c r="U56" s="160"/>
      <c r="V56" s="158"/>
      <c r="W56" s="159"/>
      <c r="X56" s="159"/>
      <c r="Y56" s="159"/>
      <c r="Z56" s="159"/>
      <c r="AA56" s="159"/>
      <c r="AB56" s="159"/>
      <c r="AC56" s="159"/>
      <c r="AD56" s="161"/>
    </row>
    <row r="57" spans="1:30" x14ac:dyDescent="0.25">
      <c r="B57" s="38" t="s">
        <v>48</v>
      </c>
      <c r="C57" s="86">
        <f t="shared" si="0"/>
        <v>300.39652000000001</v>
      </c>
      <c r="E57" s="44" t="s">
        <v>48</v>
      </c>
      <c r="F57" s="158"/>
      <c r="G57" s="159"/>
      <c r="H57" s="159"/>
      <c r="I57" s="159"/>
      <c r="J57" s="159"/>
      <c r="K57" s="159"/>
      <c r="L57" s="159"/>
      <c r="M57" s="159"/>
      <c r="N57" s="161"/>
      <c r="O57" s="162"/>
      <c r="P57" s="159"/>
      <c r="Q57" s="159"/>
      <c r="R57" s="159"/>
      <c r="S57" s="159"/>
      <c r="T57" s="159"/>
      <c r="U57" s="160"/>
      <c r="V57" s="158"/>
      <c r="W57" s="159"/>
      <c r="X57" s="159"/>
      <c r="Y57" s="159"/>
      <c r="Z57" s="159"/>
      <c r="AA57" s="159"/>
      <c r="AB57" s="159"/>
      <c r="AC57" s="159"/>
      <c r="AD57" s="161"/>
    </row>
    <row r="58" spans="1:30" x14ac:dyDescent="0.25">
      <c r="B58" s="38" t="s">
        <v>49</v>
      </c>
      <c r="C58" s="86">
        <f t="shared" si="0"/>
        <v>320.51218999999998</v>
      </c>
      <c r="E58" s="44" t="s">
        <v>49</v>
      </c>
      <c r="F58" s="158"/>
      <c r="G58" s="159"/>
      <c r="H58" s="159"/>
      <c r="I58" s="159"/>
      <c r="J58" s="159"/>
      <c r="K58" s="159"/>
      <c r="L58" s="159"/>
      <c r="M58" s="159"/>
      <c r="N58" s="161"/>
      <c r="O58" s="162"/>
      <c r="P58" s="159"/>
      <c r="Q58" s="159"/>
      <c r="R58" s="159"/>
      <c r="S58" s="159"/>
      <c r="T58" s="159"/>
      <c r="U58" s="160"/>
      <c r="V58" s="158"/>
      <c r="W58" s="159"/>
      <c r="X58" s="159"/>
      <c r="Y58" s="159"/>
      <c r="Z58" s="159"/>
      <c r="AA58" s="159"/>
      <c r="AB58" s="159"/>
      <c r="AC58" s="159"/>
      <c r="AD58" s="161"/>
    </row>
    <row r="59" spans="1:30" ht="15.75" thickBot="1" x14ac:dyDescent="0.3">
      <c r="B59" s="39" t="s">
        <v>50</v>
      </c>
      <c r="C59" s="87">
        <f t="shared" si="0"/>
        <v>361.42469</v>
      </c>
      <c r="E59" s="45" t="s">
        <v>50</v>
      </c>
      <c r="F59" s="172"/>
      <c r="G59" s="173"/>
      <c r="H59" s="173"/>
      <c r="I59" s="173"/>
      <c r="J59" s="173"/>
      <c r="K59" s="173"/>
      <c r="L59" s="173"/>
      <c r="M59" s="173"/>
      <c r="N59" s="174"/>
      <c r="O59" s="175"/>
      <c r="P59" s="173"/>
      <c r="Q59" s="173"/>
      <c r="R59" s="173"/>
      <c r="S59" s="173"/>
      <c r="T59" s="173"/>
      <c r="U59" s="176"/>
      <c r="V59" s="172"/>
      <c r="W59" s="173"/>
      <c r="X59" s="173"/>
      <c r="Y59" s="173"/>
      <c r="Z59" s="173"/>
      <c r="AA59" s="173"/>
      <c r="AB59" s="173"/>
      <c r="AC59" s="173"/>
      <c r="AD59" s="174"/>
    </row>
    <row r="61" spans="1:30" x14ac:dyDescent="0.25">
      <c r="A61" s="72" t="s">
        <v>96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</row>
    <row r="62" spans="1:30" ht="97.5" thickBot="1" x14ac:dyDescent="0.3">
      <c r="B62" s="41" t="s">
        <v>74</v>
      </c>
      <c r="C62" s="41"/>
      <c r="E62" s="42" t="s">
        <v>75</v>
      </c>
      <c r="F62" s="46" t="s">
        <v>20</v>
      </c>
      <c r="G62" s="46" t="s">
        <v>21</v>
      </c>
      <c r="H62" s="46" t="s">
        <v>22</v>
      </c>
      <c r="I62" s="46" t="s">
        <v>34</v>
      </c>
      <c r="J62" s="46" t="s">
        <v>30</v>
      </c>
      <c r="K62" s="46" t="s">
        <v>29</v>
      </c>
      <c r="L62" s="46" t="s">
        <v>18</v>
      </c>
      <c r="M62" s="46" t="s">
        <v>196</v>
      </c>
      <c r="N62" s="46" t="s">
        <v>23</v>
      </c>
      <c r="O62" s="46" t="s">
        <v>35</v>
      </c>
      <c r="P62" s="46" t="s">
        <v>36</v>
      </c>
      <c r="Q62" s="46" t="s">
        <v>37</v>
      </c>
      <c r="R62" s="46" t="s">
        <v>38</v>
      </c>
      <c r="S62" s="46" t="s">
        <v>39</v>
      </c>
      <c r="T62" s="46" t="s">
        <v>40</v>
      </c>
      <c r="U62" s="46" t="s">
        <v>41</v>
      </c>
      <c r="V62" s="46" t="s">
        <v>42</v>
      </c>
      <c r="W62" s="46" t="s">
        <v>43</v>
      </c>
      <c r="X62" s="46" t="s">
        <v>44</v>
      </c>
      <c r="Y62" s="46" t="s">
        <v>45</v>
      </c>
      <c r="Z62" s="46" t="s">
        <v>46</v>
      </c>
      <c r="AA62" s="46" t="s">
        <v>47</v>
      </c>
      <c r="AB62" s="46" t="s">
        <v>48</v>
      </c>
      <c r="AC62" s="46" t="s">
        <v>49</v>
      </c>
      <c r="AD62" s="46" t="s">
        <v>50</v>
      </c>
    </row>
    <row r="63" spans="1:30" x14ac:dyDescent="0.25">
      <c r="B63" s="37" t="s">
        <v>20</v>
      </c>
      <c r="C63" s="85">
        <f>C4</f>
        <v>3</v>
      </c>
      <c r="E63" s="37" t="s">
        <v>20</v>
      </c>
      <c r="F63" s="47">
        <f t="array" ref="F63:AD87">($C63:$C87+TRANSPOSE($C63:$C87))*IF(B63:B87=F62:AD62,0,1)</f>
        <v>0</v>
      </c>
      <c r="G63" s="48">
        <v>245</v>
      </c>
      <c r="H63" s="48">
        <v>340</v>
      </c>
      <c r="I63" s="48">
        <v>49</v>
      </c>
      <c r="J63" s="48">
        <v>39</v>
      </c>
      <c r="K63" s="48">
        <v>241</v>
      </c>
      <c r="L63" s="48">
        <v>384.59447</v>
      </c>
      <c r="M63" s="48">
        <v>337</v>
      </c>
      <c r="N63" s="49">
        <v>5</v>
      </c>
      <c r="O63" s="50">
        <v>27</v>
      </c>
      <c r="P63" s="48">
        <v>81</v>
      </c>
      <c r="Q63" s="48">
        <v>136</v>
      </c>
      <c r="R63" s="48">
        <v>188</v>
      </c>
      <c r="S63" s="48">
        <v>205</v>
      </c>
      <c r="T63" s="48">
        <v>225</v>
      </c>
      <c r="U63" s="51">
        <v>3.05</v>
      </c>
      <c r="V63" s="47">
        <v>74.84778</v>
      </c>
      <c r="W63" s="48">
        <v>140.48994999999999</v>
      </c>
      <c r="X63" s="48">
        <v>183.23273</v>
      </c>
      <c r="Y63" s="48">
        <v>213.69001</v>
      </c>
      <c r="Z63" s="48">
        <v>234.34958</v>
      </c>
      <c r="AA63" s="48">
        <v>271.73602</v>
      </c>
      <c r="AB63" s="48">
        <v>303.39652000000001</v>
      </c>
      <c r="AC63" s="48">
        <v>323.51218999999998</v>
      </c>
      <c r="AD63" s="49">
        <v>364.42469</v>
      </c>
    </row>
    <row r="64" spans="1:30" x14ac:dyDescent="0.25">
      <c r="B64" s="38" t="s">
        <v>21</v>
      </c>
      <c r="C64" s="86">
        <f t="shared" ref="C64:C87" si="1">C5</f>
        <v>242</v>
      </c>
      <c r="E64" s="38" t="s">
        <v>21</v>
      </c>
      <c r="F64" s="52">
        <v>245</v>
      </c>
      <c r="G64" s="53">
        <v>0</v>
      </c>
      <c r="H64" s="53">
        <v>579</v>
      </c>
      <c r="I64" s="53">
        <v>288</v>
      </c>
      <c r="J64" s="53">
        <v>278</v>
      </c>
      <c r="K64" s="53">
        <v>480</v>
      </c>
      <c r="L64" s="53">
        <v>623.59447</v>
      </c>
      <c r="M64" s="53">
        <v>576</v>
      </c>
      <c r="N64" s="54">
        <v>244</v>
      </c>
      <c r="O64" s="55">
        <v>266</v>
      </c>
      <c r="P64" s="53">
        <v>320</v>
      </c>
      <c r="Q64" s="53">
        <v>375</v>
      </c>
      <c r="R64" s="53">
        <v>427</v>
      </c>
      <c r="S64" s="53">
        <v>444</v>
      </c>
      <c r="T64" s="53">
        <v>464</v>
      </c>
      <c r="U64" s="56">
        <v>242.05</v>
      </c>
      <c r="V64" s="52">
        <v>313.84778</v>
      </c>
      <c r="W64" s="53">
        <v>379.48995000000002</v>
      </c>
      <c r="X64" s="53">
        <v>422.23273</v>
      </c>
      <c r="Y64" s="53">
        <v>452.69001000000003</v>
      </c>
      <c r="Z64" s="53">
        <v>473.34958</v>
      </c>
      <c r="AA64" s="53">
        <v>510.73602</v>
      </c>
      <c r="AB64" s="53">
        <v>542.39652000000001</v>
      </c>
      <c r="AC64" s="53">
        <v>562.51218999999992</v>
      </c>
      <c r="AD64" s="54">
        <v>603.42469000000006</v>
      </c>
    </row>
    <row r="65" spans="2:30" x14ac:dyDescent="0.25">
      <c r="B65" s="38" t="s">
        <v>22</v>
      </c>
      <c r="C65" s="86">
        <f t="shared" si="1"/>
        <v>337</v>
      </c>
      <c r="E65" s="38" t="s">
        <v>22</v>
      </c>
      <c r="F65" s="52">
        <v>340</v>
      </c>
      <c r="G65" s="53">
        <v>579</v>
      </c>
      <c r="H65" s="53">
        <v>0</v>
      </c>
      <c r="I65" s="53">
        <v>383</v>
      </c>
      <c r="J65" s="53">
        <v>373</v>
      </c>
      <c r="K65" s="53">
        <v>575</v>
      </c>
      <c r="L65" s="53">
        <v>718.59447</v>
      </c>
      <c r="M65" s="53">
        <v>671</v>
      </c>
      <c r="N65" s="54">
        <v>339</v>
      </c>
      <c r="O65" s="55">
        <v>361</v>
      </c>
      <c r="P65" s="53">
        <v>415</v>
      </c>
      <c r="Q65" s="53">
        <v>470</v>
      </c>
      <c r="R65" s="53">
        <v>522</v>
      </c>
      <c r="S65" s="53">
        <v>539</v>
      </c>
      <c r="T65" s="53">
        <v>559</v>
      </c>
      <c r="U65" s="56">
        <v>337.05</v>
      </c>
      <c r="V65" s="52">
        <v>408.84778</v>
      </c>
      <c r="W65" s="53">
        <v>474.48995000000002</v>
      </c>
      <c r="X65" s="53">
        <v>517.23272999999995</v>
      </c>
      <c r="Y65" s="53">
        <v>547.69001000000003</v>
      </c>
      <c r="Z65" s="53">
        <v>568.34958000000006</v>
      </c>
      <c r="AA65" s="53">
        <v>605.73602000000005</v>
      </c>
      <c r="AB65" s="53">
        <v>637.39652000000001</v>
      </c>
      <c r="AC65" s="53">
        <v>657.51218999999992</v>
      </c>
      <c r="AD65" s="54">
        <v>698.42469000000006</v>
      </c>
    </row>
    <row r="66" spans="2:30" x14ac:dyDescent="0.25">
      <c r="B66" s="38" t="s">
        <v>34</v>
      </c>
      <c r="C66" s="86">
        <f t="shared" si="1"/>
        <v>46</v>
      </c>
      <c r="E66" s="38" t="s">
        <v>34</v>
      </c>
      <c r="F66" s="52">
        <v>49</v>
      </c>
      <c r="G66" s="53">
        <v>288</v>
      </c>
      <c r="H66" s="53">
        <v>383</v>
      </c>
      <c r="I66" s="53">
        <v>0</v>
      </c>
      <c r="J66" s="53">
        <v>82</v>
      </c>
      <c r="K66" s="53">
        <v>284</v>
      </c>
      <c r="L66" s="53">
        <v>427.59447</v>
      </c>
      <c r="M66" s="53">
        <v>380</v>
      </c>
      <c r="N66" s="54">
        <v>48</v>
      </c>
      <c r="O66" s="55">
        <v>70</v>
      </c>
      <c r="P66" s="53">
        <v>124</v>
      </c>
      <c r="Q66" s="53">
        <v>179</v>
      </c>
      <c r="R66" s="53">
        <v>231</v>
      </c>
      <c r="S66" s="53">
        <v>248</v>
      </c>
      <c r="T66" s="53">
        <v>268</v>
      </c>
      <c r="U66" s="56">
        <v>46.05</v>
      </c>
      <c r="V66" s="52">
        <v>117.84778</v>
      </c>
      <c r="W66" s="53">
        <v>183.48994999999999</v>
      </c>
      <c r="X66" s="53">
        <v>226.23273</v>
      </c>
      <c r="Y66" s="53">
        <v>256.69001000000003</v>
      </c>
      <c r="Z66" s="53">
        <v>277.34958</v>
      </c>
      <c r="AA66" s="53">
        <v>314.73602</v>
      </c>
      <c r="AB66" s="53">
        <v>346.39652000000001</v>
      </c>
      <c r="AC66" s="53">
        <v>366.51218999999998</v>
      </c>
      <c r="AD66" s="54">
        <v>407.42469</v>
      </c>
    </row>
    <row r="67" spans="2:30" x14ac:dyDescent="0.25">
      <c r="B67" s="38" t="s">
        <v>30</v>
      </c>
      <c r="C67" s="86">
        <f t="shared" si="1"/>
        <v>36</v>
      </c>
      <c r="E67" s="38" t="s">
        <v>30</v>
      </c>
      <c r="F67" s="52">
        <v>39</v>
      </c>
      <c r="G67" s="53">
        <v>278</v>
      </c>
      <c r="H67" s="53">
        <v>373</v>
      </c>
      <c r="I67" s="53">
        <v>82</v>
      </c>
      <c r="J67" s="53">
        <v>0</v>
      </c>
      <c r="K67" s="53">
        <v>274</v>
      </c>
      <c r="L67" s="53">
        <v>417.59447</v>
      </c>
      <c r="M67" s="53">
        <v>370</v>
      </c>
      <c r="N67" s="54">
        <v>38</v>
      </c>
      <c r="O67" s="55">
        <v>60</v>
      </c>
      <c r="P67" s="53">
        <v>114</v>
      </c>
      <c r="Q67" s="53">
        <v>169</v>
      </c>
      <c r="R67" s="53">
        <v>221</v>
      </c>
      <c r="S67" s="53">
        <v>238</v>
      </c>
      <c r="T67" s="53">
        <v>258</v>
      </c>
      <c r="U67" s="56">
        <v>36.049999999999997</v>
      </c>
      <c r="V67" s="52">
        <v>107.84778</v>
      </c>
      <c r="W67" s="53">
        <v>173.48994999999999</v>
      </c>
      <c r="X67" s="53">
        <v>216.23273</v>
      </c>
      <c r="Y67" s="53">
        <v>246.69001</v>
      </c>
      <c r="Z67" s="53">
        <v>267.34958</v>
      </c>
      <c r="AA67" s="53">
        <v>304.73602</v>
      </c>
      <c r="AB67" s="53">
        <v>336.39652000000001</v>
      </c>
      <c r="AC67" s="53">
        <v>356.51218999999998</v>
      </c>
      <c r="AD67" s="54">
        <v>397.42469</v>
      </c>
    </row>
    <row r="68" spans="2:30" x14ac:dyDescent="0.25">
      <c r="B68" s="38" t="s">
        <v>29</v>
      </c>
      <c r="C68" s="86">
        <f t="shared" si="1"/>
        <v>238</v>
      </c>
      <c r="E68" s="38" t="s">
        <v>29</v>
      </c>
      <c r="F68" s="52">
        <v>241</v>
      </c>
      <c r="G68" s="53">
        <v>480</v>
      </c>
      <c r="H68" s="53">
        <v>575</v>
      </c>
      <c r="I68" s="53">
        <v>284</v>
      </c>
      <c r="J68" s="53">
        <v>274</v>
      </c>
      <c r="K68" s="53">
        <v>0</v>
      </c>
      <c r="L68" s="53">
        <v>619.59447</v>
      </c>
      <c r="M68" s="53">
        <v>572</v>
      </c>
      <c r="N68" s="54">
        <v>240</v>
      </c>
      <c r="O68" s="55">
        <v>262</v>
      </c>
      <c r="P68" s="53">
        <v>316</v>
      </c>
      <c r="Q68" s="53">
        <v>371</v>
      </c>
      <c r="R68" s="53">
        <v>423</v>
      </c>
      <c r="S68" s="53">
        <v>440</v>
      </c>
      <c r="T68" s="53">
        <v>460</v>
      </c>
      <c r="U68" s="56">
        <v>238.05</v>
      </c>
      <c r="V68" s="52">
        <v>309.84778</v>
      </c>
      <c r="W68" s="53">
        <v>375.48995000000002</v>
      </c>
      <c r="X68" s="53">
        <v>418.23273</v>
      </c>
      <c r="Y68" s="53">
        <v>448.69001000000003</v>
      </c>
      <c r="Z68" s="53">
        <v>469.34958</v>
      </c>
      <c r="AA68" s="53">
        <v>506.73602</v>
      </c>
      <c r="AB68" s="53">
        <v>538.39652000000001</v>
      </c>
      <c r="AC68" s="53">
        <v>558.51218999999992</v>
      </c>
      <c r="AD68" s="54">
        <v>599.42469000000006</v>
      </c>
    </row>
    <row r="69" spans="2:30" x14ac:dyDescent="0.25">
      <c r="B69" s="38" t="s">
        <v>18</v>
      </c>
      <c r="C69" s="86">
        <f t="shared" si="1"/>
        <v>381.59447</v>
      </c>
      <c r="E69" s="38" t="s">
        <v>18</v>
      </c>
      <c r="F69" s="52">
        <v>384.59447</v>
      </c>
      <c r="G69" s="53">
        <v>623.59447</v>
      </c>
      <c r="H69" s="53">
        <v>718.59447</v>
      </c>
      <c r="I69" s="53">
        <v>427.59447</v>
      </c>
      <c r="J69" s="53">
        <v>417.59447</v>
      </c>
      <c r="K69" s="53">
        <v>619.59447</v>
      </c>
      <c r="L69" s="53">
        <v>0</v>
      </c>
      <c r="M69" s="53">
        <v>715.59447</v>
      </c>
      <c r="N69" s="54">
        <v>383.59447</v>
      </c>
      <c r="O69" s="55">
        <v>405.59447</v>
      </c>
      <c r="P69" s="53">
        <v>459.59447</v>
      </c>
      <c r="Q69" s="53">
        <v>514.59447</v>
      </c>
      <c r="R69" s="53">
        <v>566.59447</v>
      </c>
      <c r="S69" s="53">
        <v>583.59447</v>
      </c>
      <c r="T69" s="53">
        <v>603.59447</v>
      </c>
      <c r="U69" s="56">
        <v>381.64447000000001</v>
      </c>
      <c r="V69" s="52">
        <v>453.44225</v>
      </c>
      <c r="W69" s="53">
        <v>519.08442000000002</v>
      </c>
      <c r="X69" s="53">
        <v>561.82719999999995</v>
      </c>
      <c r="Y69" s="53">
        <v>592.28448000000003</v>
      </c>
      <c r="Z69" s="53">
        <v>612.94405000000006</v>
      </c>
      <c r="AA69" s="53">
        <v>650.33049000000005</v>
      </c>
      <c r="AB69" s="53">
        <v>681.99099000000001</v>
      </c>
      <c r="AC69" s="53">
        <v>702.10665999999992</v>
      </c>
      <c r="AD69" s="54">
        <v>743.01916000000006</v>
      </c>
    </row>
    <row r="70" spans="2:30" x14ac:dyDescent="0.25">
      <c r="B70" s="38" t="s">
        <v>196</v>
      </c>
      <c r="C70" s="86">
        <f t="shared" si="1"/>
        <v>334</v>
      </c>
      <c r="E70" s="38" t="s">
        <v>196</v>
      </c>
      <c r="F70" s="52">
        <v>337</v>
      </c>
      <c r="G70" s="53">
        <v>576</v>
      </c>
      <c r="H70" s="53">
        <v>671</v>
      </c>
      <c r="I70" s="53">
        <v>380</v>
      </c>
      <c r="J70" s="53">
        <v>370</v>
      </c>
      <c r="K70" s="53">
        <v>572</v>
      </c>
      <c r="L70" s="53">
        <v>715.59447</v>
      </c>
      <c r="M70" s="53">
        <v>0</v>
      </c>
      <c r="N70" s="54">
        <v>336</v>
      </c>
      <c r="O70" s="55">
        <v>358</v>
      </c>
      <c r="P70" s="53">
        <v>412</v>
      </c>
      <c r="Q70" s="53">
        <v>467</v>
      </c>
      <c r="R70" s="53">
        <v>519</v>
      </c>
      <c r="S70" s="53">
        <v>536</v>
      </c>
      <c r="T70" s="53">
        <v>556</v>
      </c>
      <c r="U70" s="56">
        <v>334.05</v>
      </c>
      <c r="V70" s="52">
        <v>405.84778</v>
      </c>
      <c r="W70" s="53">
        <v>471.48995000000002</v>
      </c>
      <c r="X70" s="53">
        <v>514.23272999999995</v>
      </c>
      <c r="Y70" s="53">
        <v>544.69001000000003</v>
      </c>
      <c r="Z70" s="53">
        <v>565.34958000000006</v>
      </c>
      <c r="AA70" s="53">
        <v>602.73602000000005</v>
      </c>
      <c r="AB70" s="53">
        <v>634.39652000000001</v>
      </c>
      <c r="AC70" s="53">
        <v>654.51218999999992</v>
      </c>
      <c r="AD70" s="54">
        <v>695.42469000000006</v>
      </c>
    </row>
    <row r="71" spans="2:30" ht="15.75" thickBot="1" x14ac:dyDescent="0.3">
      <c r="B71" s="39" t="s">
        <v>23</v>
      </c>
      <c r="C71" s="87">
        <f t="shared" si="1"/>
        <v>2</v>
      </c>
      <c r="E71" s="39" t="s">
        <v>23</v>
      </c>
      <c r="F71" s="57">
        <v>5</v>
      </c>
      <c r="G71" s="58">
        <v>244</v>
      </c>
      <c r="H71" s="58">
        <v>339</v>
      </c>
      <c r="I71" s="58">
        <v>48</v>
      </c>
      <c r="J71" s="58">
        <v>38</v>
      </c>
      <c r="K71" s="58">
        <v>240</v>
      </c>
      <c r="L71" s="58">
        <v>383.59447</v>
      </c>
      <c r="M71" s="58">
        <v>336</v>
      </c>
      <c r="N71" s="59">
        <v>0</v>
      </c>
      <c r="O71" s="60">
        <v>26</v>
      </c>
      <c r="P71" s="61">
        <v>80</v>
      </c>
      <c r="Q71" s="61">
        <v>135</v>
      </c>
      <c r="R71" s="61">
        <v>187</v>
      </c>
      <c r="S71" s="61">
        <v>204</v>
      </c>
      <c r="T71" s="61">
        <v>224</v>
      </c>
      <c r="U71" s="62">
        <v>2.0499999999999998</v>
      </c>
      <c r="V71" s="57">
        <v>73.84778</v>
      </c>
      <c r="W71" s="58">
        <v>139.48994999999999</v>
      </c>
      <c r="X71" s="58">
        <v>182.23273</v>
      </c>
      <c r="Y71" s="58">
        <v>212.69001</v>
      </c>
      <c r="Z71" s="58">
        <v>233.34958</v>
      </c>
      <c r="AA71" s="58">
        <v>270.73602</v>
      </c>
      <c r="AB71" s="58">
        <v>302.39652000000001</v>
      </c>
      <c r="AC71" s="58">
        <v>322.51218999999998</v>
      </c>
      <c r="AD71" s="59">
        <v>363.42469</v>
      </c>
    </row>
    <row r="72" spans="2:30" x14ac:dyDescent="0.25">
      <c r="B72" s="37" t="s">
        <v>35</v>
      </c>
      <c r="C72" s="86">
        <f t="shared" si="1"/>
        <v>24</v>
      </c>
      <c r="E72" s="37" t="s">
        <v>35</v>
      </c>
      <c r="F72" s="63">
        <v>27</v>
      </c>
      <c r="G72" s="64">
        <v>266</v>
      </c>
      <c r="H72" s="64">
        <v>361</v>
      </c>
      <c r="I72" s="64">
        <v>70</v>
      </c>
      <c r="J72" s="64">
        <v>60</v>
      </c>
      <c r="K72" s="64">
        <v>262</v>
      </c>
      <c r="L72" s="64">
        <v>405.59447</v>
      </c>
      <c r="M72" s="64">
        <v>358</v>
      </c>
      <c r="N72" s="65">
        <v>26</v>
      </c>
      <c r="O72" s="47">
        <v>0</v>
      </c>
      <c r="P72" s="48">
        <v>102</v>
      </c>
      <c r="Q72" s="48">
        <v>157</v>
      </c>
      <c r="R72" s="48">
        <v>209</v>
      </c>
      <c r="S72" s="48">
        <v>226</v>
      </c>
      <c r="T72" s="48">
        <v>246</v>
      </c>
      <c r="U72" s="49">
        <v>24.05</v>
      </c>
      <c r="V72" s="66">
        <v>95.84778</v>
      </c>
      <c r="W72" s="64">
        <v>161.48994999999999</v>
      </c>
      <c r="X72" s="64">
        <v>204.23273</v>
      </c>
      <c r="Y72" s="64">
        <v>234.69001</v>
      </c>
      <c r="Z72" s="64">
        <v>255.34958</v>
      </c>
      <c r="AA72" s="64">
        <v>292.73602</v>
      </c>
      <c r="AB72" s="64">
        <v>324.39652000000001</v>
      </c>
      <c r="AC72" s="64">
        <v>344.51218999999998</v>
      </c>
      <c r="AD72" s="67">
        <v>385.42469</v>
      </c>
    </row>
    <row r="73" spans="2:30" x14ac:dyDescent="0.25">
      <c r="B73" s="38" t="s">
        <v>36</v>
      </c>
      <c r="C73" s="86">
        <f t="shared" si="1"/>
        <v>78</v>
      </c>
      <c r="E73" s="44" t="s">
        <v>36</v>
      </c>
      <c r="F73" s="52">
        <v>81</v>
      </c>
      <c r="G73" s="53">
        <v>320</v>
      </c>
      <c r="H73" s="53">
        <v>415</v>
      </c>
      <c r="I73" s="53">
        <v>124</v>
      </c>
      <c r="J73" s="53">
        <v>114</v>
      </c>
      <c r="K73" s="53">
        <v>316</v>
      </c>
      <c r="L73" s="53">
        <v>459.59447</v>
      </c>
      <c r="M73" s="53">
        <v>412</v>
      </c>
      <c r="N73" s="56">
        <v>80</v>
      </c>
      <c r="O73" s="52">
        <v>102</v>
      </c>
      <c r="P73" s="53">
        <v>0</v>
      </c>
      <c r="Q73" s="53">
        <v>211</v>
      </c>
      <c r="R73" s="53">
        <v>263</v>
      </c>
      <c r="S73" s="53">
        <v>280</v>
      </c>
      <c r="T73" s="53">
        <v>300</v>
      </c>
      <c r="U73" s="54">
        <v>78.05</v>
      </c>
      <c r="V73" s="55">
        <v>149.84778</v>
      </c>
      <c r="W73" s="53">
        <v>215.48994999999999</v>
      </c>
      <c r="X73" s="53">
        <v>258.23273</v>
      </c>
      <c r="Y73" s="53">
        <v>288.69001000000003</v>
      </c>
      <c r="Z73" s="53">
        <v>309.34958</v>
      </c>
      <c r="AA73" s="53">
        <v>346.73602</v>
      </c>
      <c r="AB73" s="53">
        <v>378.39652000000001</v>
      </c>
      <c r="AC73" s="53">
        <v>398.51218999999998</v>
      </c>
      <c r="AD73" s="54">
        <v>439.42469</v>
      </c>
    </row>
    <row r="74" spans="2:30" x14ac:dyDescent="0.25">
      <c r="B74" s="38" t="s">
        <v>37</v>
      </c>
      <c r="C74" s="86">
        <f t="shared" si="1"/>
        <v>133</v>
      </c>
      <c r="E74" s="44" t="s">
        <v>37</v>
      </c>
      <c r="F74" s="52">
        <v>136</v>
      </c>
      <c r="G74" s="53">
        <v>375</v>
      </c>
      <c r="H74" s="53">
        <v>470</v>
      </c>
      <c r="I74" s="53">
        <v>179</v>
      </c>
      <c r="J74" s="53">
        <v>169</v>
      </c>
      <c r="K74" s="53">
        <v>371</v>
      </c>
      <c r="L74" s="53">
        <v>514.59447</v>
      </c>
      <c r="M74" s="53">
        <v>467</v>
      </c>
      <c r="N74" s="56">
        <v>135</v>
      </c>
      <c r="O74" s="52">
        <v>157</v>
      </c>
      <c r="P74" s="53">
        <v>211</v>
      </c>
      <c r="Q74" s="53">
        <v>0</v>
      </c>
      <c r="R74" s="53">
        <v>318</v>
      </c>
      <c r="S74" s="53">
        <v>335</v>
      </c>
      <c r="T74" s="53">
        <v>355</v>
      </c>
      <c r="U74" s="54">
        <v>133.05000000000001</v>
      </c>
      <c r="V74" s="55">
        <v>204.84778</v>
      </c>
      <c r="W74" s="53">
        <v>270.48995000000002</v>
      </c>
      <c r="X74" s="53">
        <v>313.23273</v>
      </c>
      <c r="Y74" s="53">
        <v>343.69001000000003</v>
      </c>
      <c r="Z74" s="53">
        <v>364.34958</v>
      </c>
      <c r="AA74" s="53">
        <v>401.73602</v>
      </c>
      <c r="AB74" s="53">
        <v>433.39652000000001</v>
      </c>
      <c r="AC74" s="53">
        <v>453.51218999999998</v>
      </c>
      <c r="AD74" s="54">
        <v>494.42469</v>
      </c>
    </row>
    <row r="75" spans="2:30" x14ac:dyDescent="0.25">
      <c r="B75" s="38" t="s">
        <v>38</v>
      </c>
      <c r="C75" s="86">
        <f t="shared" si="1"/>
        <v>185</v>
      </c>
      <c r="E75" s="44" t="s">
        <v>38</v>
      </c>
      <c r="F75" s="52">
        <v>188</v>
      </c>
      <c r="G75" s="53">
        <v>427</v>
      </c>
      <c r="H75" s="53">
        <v>522</v>
      </c>
      <c r="I75" s="53">
        <v>231</v>
      </c>
      <c r="J75" s="53">
        <v>221</v>
      </c>
      <c r="K75" s="53">
        <v>423</v>
      </c>
      <c r="L75" s="53">
        <v>566.59447</v>
      </c>
      <c r="M75" s="53">
        <v>519</v>
      </c>
      <c r="N75" s="56">
        <v>187</v>
      </c>
      <c r="O75" s="52">
        <v>209</v>
      </c>
      <c r="P75" s="53">
        <v>263</v>
      </c>
      <c r="Q75" s="53">
        <v>318</v>
      </c>
      <c r="R75" s="53">
        <v>0</v>
      </c>
      <c r="S75" s="53">
        <v>387</v>
      </c>
      <c r="T75" s="53">
        <v>407</v>
      </c>
      <c r="U75" s="54">
        <v>185.05</v>
      </c>
      <c r="V75" s="55">
        <v>256.84778</v>
      </c>
      <c r="W75" s="53">
        <v>322.48995000000002</v>
      </c>
      <c r="X75" s="53">
        <v>365.23273</v>
      </c>
      <c r="Y75" s="53">
        <v>395.69001000000003</v>
      </c>
      <c r="Z75" s="53">
        <v>416.34958</v>
      </c>
      <c r="AA75" s="53">
        <v>453.73602</v>
      </c>
      <c r="AB75" s="53">
        <v>485.39652000000001</v>
      </c>
      <c r="AC75" s="53">
        <v>505.51218999999998</v>
      </c>
      <c r="AD75" s="54">
        <v>546.42469000000006</v>
      </c>
    </row>
    <row r="76" spans="2:30" x14ac:dyDescent="0.25">
      <c r="B76" s="38" t="s">
        <v>39</v>
      </c>
      <c r="C76" s="86">
        <f t="shared" si="1"/>
        <v>202</v>
      </c>
      <c r="E76" s="44" t="s">
        <v>39</v>
      </c>
      <c r="F76" s="52">
        <v>205</v>
      </c>
      <c r="G76" s="53">
        <v>444</v>
      </c>
      <c r="H76" s="53">
        <v>539</v>
      </c>
      <c r="I76" s="53">
        <v>248</v>
      </c>
      <c r="J76" s="53">
        <v>238</v>
      </c>
      <c r="K76" s="53">
        <v>440</v>
      </c>
      <c r="L76" s="53">
        <v>583.59447</v>
      </c>
      <c r="M76" s="53">
        <v>536</v>
      </c>
      <c r="N76" s="56">
        <v>204</v>
      </c>
      <c r="O76" s="52">
        <v>226</v>
      </c>
      <c r="P76" s="53">
        <v>280</v>
      </c>
      <c r="Q76" s="53">
        <v>335</v>
      </c>
      <c r="R76" s="53">
        <v>387</v>
      </c>
      <c r="S76" s="53">
        <v>0</v>
      </c>
      <c r="T76" s="53">
        <v>424</v>
      </c>
      <c r="U76" s="54">
        <v>202.05</v>
      </c>
      <c r="V76" s="55">
        <v>273.84778</v>
      </c>
      <c r="W76" s="53">
        <v>339.48995000000002</v>
      </c>
      <c r="X76" s="53">
        <v>382.23273</v>
      </c>
      <c r="Y76" s="53">
        <v>412.69001000000003</v>
      </c>
      <c r="Z76" s="53">
        <v>433.34958</v>
      </c>
      <c r="AA76" s="53">
        <v>470.73602</v>
      </c>
      <c r="AB76" s="53">
        <v>502.39652000000001</v>
      </c>
      <c r="AC76" s="53">
        <v>522.51218999999992</v>
      </c>
      <c r="AD76" s="54">
        <v>563.42469000000006</v>
      </c>
    </row>
    <row r="77" spans="2:30" x14ac:dyDescent="0.25">
      <c r="B77" s="38" t="s">
        <v>40</v>
      </c>
      <c r="C77" s="86">
        <f t="shared" si="1"/>
        <v>222</v>
      </c>
      <c r="E77" s="44" t="s">
        <v>40</v>
      </c>
      <c r="F77" s="52">
        <v>225</v>
      </c>
      <c r="G77" s="53">
        <v>464</v>
      </c>
      <c r="H77" s="53">
        <v>559</v>
      </c>
      <c r="I77" s="53">
        <v>268</v>
      </c>
      <c r="J77" s="53">
        <v>258</v>
      </c>
      <c r="K77" s="53">
        <v>460</v>
      </c>
      <c r="L77" s="53">
        <v>603.59447</v>
      </c>
      <c r="M77" s="53">
        <v>556</v>
      </c>
      <c r="N77" s="56">
        <v>224</v>
      </c>
      <c r="O77" s="52">
        <v>246</v>
      </c>
      <c r="P77" s="53">
        <v>300</v>
      </c>
      <c r="Q77" s="53">
        <v>355</v>
      </c>
      <c r="R77" s="53">
        <v>407</v>
      </c>
      <c r="S77" s="53">
        <v>424</v>
      </c>
      <c r="T77" s="53">
        <v>0</v>
      </c>
      <c r="U77" s="54">
        <v>222.05</v>
      </c>
      <c r="V77" s="55">
        <v>293.84778</v>
      </c>
      <c r="W77" s="53">
        <v>359.48995000000002</v>
      </c>
      <c r="X77" s="53">
        <v>402.23273</v>
      </c>
      <c r="Y77" s="53">
        <v>432.69001000000003</v>
      </c>
      <c r="Z77" s="53">
        <v>453.34958</v>
      </c>
      <c r="AA77" s="53">
        <v>490.73602</v>
      </c>
      <c r="AB77" s="53">
        <v>522.39652000000001</v>
      </c>
      <c r="AC77" s="53">
        <v>542.51218999999992</v>
      </c>
      <c r="AD77" s="54">
        <v>583.42469000000006</v>
      </c>
    </row>
    <row r="78" spans="2:30" ht="15.75" thickBot="1" x14ac:dyDescent="0.3">
      <c r="B78" s="39" t="s">
        <v>41</v>
      </c>
      <c r="C78" s="86">
        <f t="shared" si="1"/>
        <v>0.05</v>
      </c>
      <c r="E78" s="45" t="s">
        <v>41</v>
      </c>
      <c r="F78" s="68">
        <v>3.05</v>
      </c>
      <c r="G78" s="61">
        <v>242.05</v>
      </c>
      <c r="H78" s="61">
        <v>337.05</v>
      </c>
      <c r="I78" s="61">
        <v>46.05</v>
      </c>
      <c r="J78" s="61">
        <v>36.049999999999997</v>
      </c>
      <c r="K78" s="61">
        <v>238.05</v>
      </c>
      <c r="L78" s="61">
        <v>381.64447000000001</v>
      </c>
      <c r="M78" s="61">
        <v>334.05</v>
      </c>
      <c r="N78" s="62">
        <v>2.0499999999999998</v>
      </c>
      <c r="O78" s="57">
        <v>24.05</v>
      </c>
      <c r="P78" s="58">
        <v>78.05</v>
      </c>
      <c r="Q78" s="58">
        <v>133.05000000000001</v>
      </c>
      <c r="R78" s="58">
        <v>185.05</v>
      </c>
      <c r="S78" s="58">
        <v>202.05</v>
      </c>
      <c r="T78" s="58">
        <v>222.05</v>
      </c>
      <c r="U78" s="59">
        <v>0</v>
      </c>
      <c r="V78" s="60">
        <v>71.897779999999997</v>
      </c>
      <c r="W78" s="61">
        <v>137.53995</v>
      </c>
      <c r="X78" s="61">
        <v>180.28273000000002</v>
      </c>
      <c r="Y78" s="61">
        <v>210.74001000000001</v>
      </c>
      <c r="Z78" s="61">
        <v>231.39958000000001</v>
      </c>
      <c r="AA78" s="61">
        <v>268.78602000000001</v>
      </c>
      <c r="AB78" s="61">
        <v>300.44652000000002</v>
      </c>
      <c r="AC78" s="61">
        <v>320.56218999999999</v>
      </c>
      <c r="AD78" s="69">
        <v>361.47469000000001</v>
      </c>
    </row>
    <row r="79" spans="2:30" x14ac:dyDescent="0.25">
      <c r="B79" s="37" t="s">
        <v>42</v>
      </c>
      <c r="C79" s="85">
        <f t="shared" si="1"/>
        <v>71.84778</v>
      </c>
      <c r="E79" s="43" t="s">
        <v>42</v>
      </c>
      <c r="F79" s="47">
        <v>74.84778</v>
      </c>
      <c r="G79" s="48">
        <v>313.84778</v>
      </c>
      <c r="H79" s="48">
        <v>408.84778</v>
      </c>
      <c r="I79" s="48">
        <v>117.84778</v>
      </c>
      <c r="J79" s="48">
        <v>107.84778</v>
      </c>
      <c r="K79" s="48">
        <v>309.84778</v>
      </c>
      <c r="L79" s="48">
        <v>453.44225</v>
      </c>
      <c r="M79" s="48">
        <v>405.84778</v>
      </c>
      <c r="N79" s="49">
        <v>73.84778</v>
      </c>
      <c r="O79" s="66">
        <v>95.84778</v>
      </c>
      <c r="P79" s="64">
        <v>149.84778</v>
      </c>
      <c r="Q79" s="64">
        <v>204.84778</v>
      </c>
      <c r="R79" s="64">
        <v>256.84778</v>
      </c>
      <c r="S79" s="64">
        <v>273.84778</v>
      </c>
      <c r="T79" s="64">
        <v>293.84778</v>
      </c>
      <c r="U79" s="65">
        <v>71.897779999999997</v>
      </c>
      <c r="V79" s="47">
        <v>0</v>
      </c>
      <c r="W79" s="48">
        <v>209.33772999999999</v>
      </c>
      <c r="X79" s="48">
        <v>252.08051</v>
      </c>
      <c r="Y79" s="48">
        <v>282.53778999999997</v>
      </c>
      <c r="Z79" s="48">
        <v>303.19736</v>
      </c>
      <c r="AA79" s="48">
        <v>340.5838</v>
      </c>
      <c r="AB79" s="48">
        <v>372.24430000000001</v>
      </c>
      <c r="AC79" s="48">
        <v>392.35996999999998</v>
      </c>
      <c r="AD79" s="49">
        <v>433.27247</v>
      </c>
    </row>
    <row r="80" spans="2:30" x14ac:dyDescent="0.25">
      <c r="B80" s="38" t="s">
        <v>43</v>
      </c>
      <c r="C80" s="86">
        <f t="shared" si="1"/>
        <v>137.48994999999999</v>
      </c>
      <c r="E80" s="44" t="s">
        <v>43</v>
      </c>
      <c r="F80" s="52">
        <v>140.48994999999999</v>
      </c>
      <c r="G80" s="53">
        <v>379.48995000000002</v>
      </c>
      <c r="H80" s="53">
        <v>474.48995000000002</v>
      </c>
      <c r="I80" s="53">
        <v>183.48994999999999</v>
      </c>
      <c r="J80" s="53">
        <v>173.48994999999999</v>
      </c>
      <c r="K80" s="53">
        <v>375.48995000000002</v>
      </c>
      <c r="L80" s="53">
        <v>519.08442000000002</v>
      </c>
      <c r="M80" s="53">
        <v>471.48995000000002</v>
      </c>
      <c r="N80" s="54">
        <v>139.48994999999999</v>
      </c>
      <c r="O80" s="55">
        <v>161.48994999999999</v>
      </c>
      <c r="P80" s="53">
        <v>215.48994999999999</v>
      </c>
      <c r="Q80" s="53">
        <v>270.48995000000002</v>
      </c>
      <c r="R80" s="53">
        <v>322.48995000000002</v>
      </c>
      <c r="S80" s="53">
        <v>339.48995000000002</v>
      </c>
      <c r="T80" s="53">
        <v>359.48995000000002</v>
      </c>
      <c r="U80" s="56">
        <v>137.53995</v>
      </c>
      <c r="V80" s="52">
        <v>209.33772999999999</v>
      </c>
      <c r="W80" s="53">
        <v>0</v>
      </c>
      <c r="X80" s="53">
        <v>317.72267999999997</v>
      </c>
      <c r="Y80" s="53">
        <v>348.17995999999999</v>
      </c>
      <c r="Z80" s="53">
        <v>368.83952999999997</v>
      </c>
      <c r="AA80" s="53">
        <v>406.22596999999996</v>
      </c>
      <c r="AB80" s="53">
        <v>437.88647000000003</v>
      </c>
      <c r="AC80" s="53">
        <v>458.00213999999994</v>
      </c>
      <c r="AD80" s="54">
        <v>498.91463999999996</v>
      </c>
    </row>
    <row r="81" spans="1:30" x14ac:dyDescent="0.25">
      <c r="B81" s="38" t="s">
        <v>44</v>
      </c>
      <c r="C81" s="86">
        <f t="shared" si="1"/>
        <v>180.23273</v>
      </c>
      <c r="E81" s="44" t="s">
        <v>44</v>
      </c>
      <c r="F81" s="52">
        <v>183.23273</v>
      </c>
      <c r="G81" s="53">
        <v>422.23273</v>
      </c>
      <c r="H81" s="53">
        <v>517.23272999999995</v>
      </c>
      <c r="I81" s="53">
        <v>226.23273</v>
      </c>
      <c r="J81" s="53">
        <v>216.23273</v>
      </c>
      <c r="K81" s="53">
        <v>418.23273</v>
      </c>
      <c r="L81" s="53">
        <v>561.82719999999995</v>
      </c>
      <c r="M81" s="53">
        <v>514.23272999999995</v>
      </c>
      <c r="N81" s="54">
        <v>182.23273</v>
      </c>
      <c r="O81" s="55">
        <v>204.23273</v>
      </c>
      <c r="P81" s="53">
        <v>258.23273</v>
      </c>
      <c r="Q81" s="53">
        <v>313.23273</v>
      </c>
      <c r="R81" s="53">
        <v>365.23273</v>
      </c>
      <c r="S81" s="53">
        <v>382.23273</v>
      </c>
      <c r="T81" s="53">
        <v>402.23273</v>
      </c>
      <c r="U81" s="56">
        <v>180.28273000000002</v>
      </c>
      <c r="V81" s="52">
        <v>252.08051</v>
      </c>
      <c r="W81" s="53">
        <v>317.72267999999997</v>
      </c>
      <c r="X81" s="53">
        <v>0</v>
      </c>
      <c r="Y81" s="53">
        <v>390.92273999999998</v>
      </c>
      <c r="Z81" s="53">
        <v>411.58231000000001</v>
      </c>
      <c r="AA81" s="53">
        <v>448.96875</v>
      </c>
      <c r="AB81" s="53">
        <v>480.62925000000001</v>
      </c>
      <c r="AC81" s="53">
        <v>500.74491999999998</v>
      </c>
      <c r="AD81" s="54">
        <v>541.65742</v>
      </c>
    </row>
    <row r="82" spans="1:30" x14ac:dyDescent="0.25">
      <c r="B82" s="38" t="s">
        <v>45</v>
      </c>
      <c r="C82" s="86">
        <f t="shared" si="1"/>
        <v>210.69001</v>
      </c>
      <c r="E82" s="44" t="s">
        <v>45</v>
      </c>
      <c r="F82" s="52">
        <v>213.69001</v>
      </c>
      <c r="G82" s="53">
        <v>452.69001000000003</v>
      </c>
      <c r="H82" s="53">
        <v>547.69001000000003</v>
      </c>
      <c r="I82" s="53">
        <v>256.69001000000003</v>
      </c>
      <c r="J82" s="53">
        <v>246.69001</v>
      </c>
      <c r="K82" s="53">
        <v>448.69001000000003</v>
      </c>
      <c r="L82" s="53">
        <v>592.28448000000003</v>
      </c>
      <c r="M82" s="53">
        <v>544.69001000000003</v>
      </c>
      <c r="N82" s="54">
        <v>212.69001</v>
      </c>
      <c r="O82" s="55">
        <v>234.69001</v>
      </c>
      <c r="P82" s="53">
        <v>288.69001000000003</v>
      </c>
      <c r="Q82" s="53">
        <v>343.69001000000003</v>
      </c>
      <c r="R82" s="53">
        <v>395.69001000000003</v>
      </c>
      <c r="S82" s="53">
        <v>412.69001000000003</v>
      </c>
      <c r="T82" s="53">
        <v>432.69001000000003</v>
      </c>
      <c r="U82" s="56">
        <v>210.74001000000001</v>
      </c>
      <c r="V82" s="52">
        <v>282.53778999999997</v>
      </c>
      <c r="W82" s="53">
        <v>348.17995999999999</v>
      </c>
      <c r="X82" s="53">
        <v>390.92273999999998</v>
      </c>
      <c r="Y82" s="53">
        <v>0</v>
      </c>
      <c r="Z82" s="53">
        <v>442.03958999999998</v>
      </c>
      <c r="AA82" s="53">
        <v>479.42602999999997</v>
      </c>
      <c r="AB82" s="53">
        <v>511.08653000000004</v>
      </c>
      <c r="AC82" s="53">
        <v>531.20219999999995</v>
      </c>
      <c r="AD82" s="54">
        <v>572.11469999999997</v>
      </c>
    </row>
    <row r="83" spans="1:30" x14ac:dyDescent="0.25">
      <c r="B83" s="38" t="s">
        <v>46</v>
      </c>
      <c r="C83" s="86">
        <f t="shared" si="1"/>
        <v>231.34958</v>
      </c>
      <c r="E83" s="44" t="s">
        <v>46</v>
      </c>
      <c r="F83" s="52">
        <v>234.34958</v>
      </c>
      <c r="G83" s="53">
        <v>473.34958</v>
      </c>
      <c r="H83" s="53">
        <v>568.34958000000006</v>
      </c>
      <c r="I83" s="53">
        <v>277.34958</v>
      </c>
      <c r="J83" s="53">
        <v>267.34958</v>
      </c>
      <c r="K83" s="53">
        <v>469.34958</v>
      </c>
      <c r="L83" s="53">
        <v>612.94405000000006</v>
      </c>
      <c r="M83" s="53">
        <v>565.34958000000006</v>
      </c>
      <c r="N83" s="54">
        <v>233.34958</v>
      </c>
      <c r="O83" s="55">
        <v>255.34958</v>
      </c>
      <c r="P83" s="53">
        <v>309.34958</v>
      </c>
      <c r="Q83" s="53">
        <v>364.34958</v>
      </c>
      <c r="R83" s="53">
        <v>416.34958</v>
      </c>
      <c r="S83" s="53">
        <v>433.34958</v>
      </c>
      <c r="T83" s="53">
        <v>453.34958</v>
      </c>
      <c r="U83" s="56">
        <v>231.39958000000001</v>
      </c>
      <c r="V83" s="52">
        <v>303.19736</v>
      </c>
      <c r="W83" s="53">
        <v>368.83952999999997</v>
      </c>
      <c r="X83" s="53">
        <v>411.58231000000001</v>
      </c>
      <c r="Y83" s="53">
        <v>442.03958999999998</v>
      </c>
      <c r="Z83" s="53">
        <v>0</v>
      </c>
      <c r="AA83" s="53">
        <v>500.0856</v>
      </c>
      <c r="AB83" s="53">
        <v>531.74610000000007</v>
      </c>
      <c r="AC83" s="53">
        <v>551.86176999999998</v>
      </c>
      <c r="AD83" s="54">
        <v>592.77427</v>
      </c>
    </row>
    <row r="84" spans="1:30" x14ac:dyDescent="0.25">
      <c r="B84" s="38" t="s">
        <v>47</v>
      </c>
      <c r="C84" s="86">
        <f t="shared" si="1"/>
        <v>268.73602</v>
      </c>
      <c r="E84" s="44" t="s">
        <v>47</v>
      </c>
      <c r="F84" s="52">
        <v>271.73602</v>
      </c>
      <c r="G84" s="53">
        <v>510.73602</v>
      </c>
      <c r="H84" s="53">
        <v>605.73602000000005</v>
      </c>
      <c r="I84" s="53">
        <v>314.73602</v>
      </c>
      <c r="J84" s="53">
        <v>304.73602</v>
      </c>
      <c r="K84" s="53">
        <v>506.73602</v>
      </c>
      <c r="L84" s="53">
        <v>650.33049000000005</v>
      </c>
      <c r="M84" s="53">
        <v>602.73602000000005</v>
      </c>
      <c r="N84" s="54">
        <v>270.73602</v>
      </c>
      <c r="O84" s="55">
        <v>292.73602</v>
      </c>
      <c r="P84" s="53">
        <v>346.73602</v>
      </c>
      <c r="Q84" s="53">
        <v>401.73602</v>
      </c>
      <c r="R84" s="53">
        <v>453.73602</v>
      </c>
      <c r="S84" s="53">
        <v>470.73602</v>
      </c>
      <c r="T84" s="53">
        <v>490.73602</v>
      </c>
      <c r="U84" s="56">
        <v>268.78602000000001</v>
      </c>
      <c r="V84" s="52">
        <v>340.5838</v>
      </c>
      <c r="W84" s="53">
        <v>406.22596999999996</v>
      </c>
      <c r="X84" s="53">
        <v>448.96875</v>
      </c>
      <c r="Y84" s="53">
        <v>479.42602999999997</v>
      </c>
      <c r="Z84" s="53">
        <v>500.0856</v>
      </c>
      <c r="AA84" s="53">
        <v>0</v>
      </c>
      <c r="AB84" s="53">
        <v>569.13254000000006</v>
      </c>
      <c r="AC84" s="53">
        <v>589.24820999999997</v>
      </c>
      <c r="AD84" s="54">
        <v>630.16070999999999</v>
      </c>
    </row>
    <row r="85" spans="1:30" x14ac:dyDescent="0.25">
      <c r="B85" s="38" t="s">
        <v>48</v>
      </c>
      <c r="C85" s="86">
        <f t="shared" si="1"/>
        <v>300.39652000000001</v>
      </c>
      <c r="E85" s="44" t="s">
        <v>48</v>
      </c>
      <c r="F85" s="52">
        <v>303.39652000000001</v>
      </c>
      <c r="G85" s="53">
        <v>542.39652000000001</v>
      </c>
      <c r="H85" s="53">
        <v>637.39652000000001</v>
      </c>
      <c r="I85" s="53">
        <v>346.39652000000001</v>
      </c>
      <c r="J85" s="53">
        <v>336.39652000000001</v>
      </c>
      <c r="K85" s="53">
        <v>538.39652000000001</v>
      </c>
      <c r="L85" s="53">
        <v>681.99099000000001</v>
      </c>
      <c r="M85" s="53">
        <v>634.39652000000001</v>
      </c>
      <c r="N85" s="54">
        <v>302.39652000000001</v>
      </c>
      <c r="O85" s="55">
        <v>324.39652000000001</v>
      </c>
      <c r="P85" s="53">
        <v>378.39652000000001</v>
      </c>
      <c r="Q85" s="53">
        <v>433.39652000000001</v>
      </c>
      <c r="R85" s="53">
        <v>485.39652000000001</v>
      </c>
      <c r="S85" s="53">
        <v>502.39652000000001</v>
      </c>
      <c r="T85" s="53">
        <v>522.39652000000001</v>
      </c>
      <c r="U85" s="56">
        <v>300.44652000000002</v>
      </c>
      <c r="V85" s="52">
        <v>372.24430000000001</v>
      </c>
      <c r="W85" s="53">
        <v>437.88647000000003</v>
      </c>
      <c r="X85" s="53">
        <v>480.62925000000001</v>
      </c>
      <c r="Y85" s="53">
        <v>511.08653000000004</v>
      </c>
      <c r="Z85" s="53">
        <v>531.74610000000007</v>
      </c>
      <c r="AA85" s="53">
        <v>569.13254000000006</v>
      </c>
      <c r="AB85" s="53">
        <v>0</v>
      </c>
      <c r="AC85" s="53">
        <v>620.90870999999993</v>
      </c>
      <c r="AD85" s="54">
        <v>661.82121000000006</v>
      </c>
    </row>
    <row r="86" spans="1:30" x14ac:dyDescent="0.25">
      <c r="B86" s="38" t="s">
        <v>49</v>
      </c>
      <c r="C86" s="86">
        <f t="shared" si="1"/>
        <v>320.51218999999998</v>
      </c>
      <c r="E86" s="44" t="s">
        <v>49</v>
      </c>
      <c r="F86" s="52">
        <v>323.51218999999998</v>
      </c>
      <c r="G86" s="53">
        <v>562.51218999999992</v>
      </c>
      <c r="H86" s="53">
        <v>657.51218999999992</v>
      </c>
      <c r="I86" s="53">
        <v>366.51218999999998</v>
      </c>
      <c r="J86" s="53">
        <v>356.51218999999998</v>
      </c>
      <c r="K86" s="53">
        <v>558.51218999999992</v>
      </c>
      <c r="L86" s="53">
        <v>702.10665999999992</v>
      </c>
      <c r="M86" s="53">
        <v>654.51218999999992</v>
      </c>
      <c r="N86" s="54">
        <v>322.51218999999998</v>
      </c>
      <c r="O86" s="55">
        <v>344.51218999999998</v>
      </c>
      <c r="P86" s="53">
        <v>398.51218999999998</v>
      </c>
      <c r="Q86" s="53">
        <v>453.51218999999998</v>
      </c>
      <c r="R86" s="53">
        <v>505.51218999999998</v>
      </c>
      <c r="S86" s="53">
        <v>522.51218999999992</v>
      </c>
      <c r="T86" s="53">
        <v>542.51218999999992</v>
      </c>
      <c r="U86" s="56">
        <v>320.56218999999999</v>
      </c>
      <c r="V86" s="52">
        <v>392.35996999999998</v>
      </c>
      <c r="W86" s="53">
        <v>458.00213999999994</v>
      </c>
      <c r="X86" s="53">
        <v>500.74491999999998</v>
      </c>
      <c r="Y86" s="53">
        <v>531.20219999999995</v>
      </c>
      <c r="Z86" s="53">
        <v>551.86176999999998</v>
      </c>
      <c r="AA86" s="53">
        <v>589.24820999999997</v>
      </c>
      <c r="AB86" s="53">
        <v>620.90870999999993</v>
      </c>
      <c r="AC86" s="53">
        <v>0</v>
      </c>
      <c r="AD86" s="54">
        <v>681.93687999999997</v>
      </c>
    </row>
    <row r="87" spans="1:30" ht="15.75" thickBot="1" x14ac:dyDescent="0.3">
      <c r="B87" s="39" t="s">
        <v>50</v>
      </c>
      <c r="C87" s="87">
        <f t="shared" si="1"/>
        <v>361.42469</v>
      </c>
      <c r="E87" s="45" t="s">
        <v>50</v>
      </c>
      <c r="F87" s="57">
        <v>364.42469</v>
      </c>
      <c r="G87" s="58">
        <v>603.42469000000006</v>
      </c>
      <c r="H87" s="58">
        <v>698.42469000000006</v>
      </c>
      <c r="I87" s="58">
        <v>407.42469</v>
      </c>
      <c r="J87" s="58">
        <v>397.42469</v>
      </c>
      <c r="K87" s="58">
        <v>599.42469000000006</v>
      </c>
      <c r="L87" s="58">
        <v>743.01916000000006</v>
      </c>
      <c r="M87" s="58">
        <v>695.42469000000006</v>
      </c>
      <c r="N87" s="59">
        <v>363.42469</v>
      </c>
      <c r="O87" s="70">
        <v>385.42469</v>
      </c>
      <c r="P87" s="58">
        <v>439.42469</v>
      </c>
      <c r="Q87" s="58">
        <v>494.42469</v>
      </c>
      <c r="R87" s="58">
        <v>546.42469000000006</v>
      </c>
      <c r="S87" s="58">
        <v>563.42469000000006</v>
      </c>
      <c r="T87" s="58">
        <v>583.42469000000006</v>
      </c>
      <c r="U87" s="71">
        <v>361.47469000000001</v>
      </c>
      <c r="V87" s="57">
        <v>433.27247</v>
      </c>
      <c r="W87" s="58">
        <v>498.91463999999996</v>
      </c>
      <c r="X87" s="58">
        <v>541.65742</v>
      </c>
      <c r="Y87" s="58">
        <v>572.11469999999997</v>
      </c>
      <c r="Z87" s="58">
        <v>592.77427</v>
      </c>
      <c r="AA87" s="58">
        <v>630.16070999999999</v>
      </c>
      <c r="AB87" s="58">
        <v>661.82121000000006</v>
      </c>
      <c r="AC87" s="58">
        <v>681.93687999999997</v>
      </c>
      <c r="AD87" s="59">
        <v>0</v>
      </c>
    </row>
    <row r="89" spans="1:30" x14ac:dyDescent="0.25">
      <c r="A89" s="72" t="s">
        <v>150</v>
      </c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</row>
    <row r="90" spans="1:30" ht="97.5" thickBot="1" x14ac:dyDescent="0.3">
      <c r="C90" s="40"/>
      <c r="E90" s="42" t="s">
        <v>75</v>
      </c>
      <c r="F90" s="46" t="s">
        <v>20</v>
      </c>
      <c r="G90" s="46" t="s">
        <v>21</v>
      </c>
      <c r="H90" s="46" t="s">
        <v>22</v>
      </c>
      <c r="I90" s="46" t="s">
        <v>34</v>
      </c>
      <c r="J90" s="46" t="s">
        <v>30</v>
      </c>
      <c r="K90" s="46" t="s">
        <v>29</v>
      </c>
      <c r="L90" s="46" t="s">
        <v>18</v>
      </c>
      <c r="M90" s="46" t="s">
        <v>196</v>
      </c>
      <c r="N90" s="46" t="s">
        <v>23</v>
      </c>
      <c r="O90" s="46" t="s">
        <v>35</v>
      </c>
      <c r="P90" s="46" t="s">
        <v>36</v>
      </c>
      <c r="Q90" s="46" t="s">
        <v>37</v>
      </c>
      <c r="R90" s="46" t="s">
        <v>38</v>
      </c>
      <c r="S90" s="46" t="s">
        <v>39</v>
      </c>
      <c r="T90" s="46" t="s">
        <v>40</v>
      </c>
      <c r="U90" s="46" t="s">
        <v>41</v>
      </c>
      <c r="V90" s="46" t="s">
        <v>42</v>
      </c>
      <c r="W90" s="46" t="s">
        <v>43</v>
      </c>
      <c r="X90" s="46" t="s">
        <v>44</v>
      </c>
      <c r="Y90" s="46" t="s">
        <v>45</v>
      </c>
      <c r="Z90" s="46" t="s">
        <v>46</v>
      </c>
      <c r="AA90" s="46" t="s">
        <v>47</v>
      </c>
      <c r="AB90" s="46" t="s">
        <v>48</v>
      </c>
      <c r="AC90" s="46" t="s">
        <v>49</v>
      </c>
      <c r="AD90" s="46" t="s">
        <v>50</v>
      </c>
    </row>
    <row r="91" spans="1:30" x14ac:dyDescent="0.25">
      <c r="C91" s="40"/>
      <c r="E91" s="37" t="s">
        <v>20</v>
      </c>
      <c r="F91" s="177"/>
      <c r="G91" s="178"/>
      <c r="H91" s="178"/>
      <c r="I91" s="178"/>
      <c r="J91" s="178"/>
      <c r="K91" s="178"/>
      <c r="L91" s="178"/>
      <c r="M91" s="178"/>
      <c r="N91" s="179"/>
      <c r="O91" s="180">
        <v>1</v>
      </c>
      <c r="P91" s="178"/>
      <c r="Q91" s="178"/>
      <c r="R91" s="178"/>
      <c r="S91" s="178"/>
      <c r="T91" s="178"/>
      <c r="U91" s="181"/>
      <c r="V91" s="177"/>
      <c r="W91" s="178"/>
      <c r="X91" s="178"/>
      <c r="Y91" s="178"/>
      <c r="Z91" s="178"/>
      <c r="AA91" s="178"/>
      <c r="AB91" s="178"/>
      <c r="AC91" s="178"/>
      <c r="AD91" s="179"/>
    </row>
    <row r="92" spans="1:30" x14ac:dyDescent="0.25">
      <c r="C92" s="40"/>
      <c r="E92" s="38" t="s">
        <v>21</v>
      </c>
      <c r="F92" s="182"/>
      <c r="G92" s="183"/>
      <c r="H92" s="183">
        <v>1</v>
      </c>
      <c r="I92" s="183"/>
      <c r="J92" s="183"/>
      <c r="K92" s="183"/>
      <c r="L92" s="183"/>
      <c r="M92" s="183"/>
      <c r="N92" s="184"/>
      <c r="O92" s="185"/>
      <c r="P92" s="183"/>
      <c r="Q92" s="183"/>
      <c r="R92" s="183"/>
      <c r="S92" s="183">
        <v>1</v>
      </c>
      <c r="T92" s="183"/>
      <c r="U92" s="186"/>
      <c r="V92" s="182"/>
      <c r="W92" s="183"/>
      <c r="X92" s="183"/>
      <c r="Y92" s="183"/>
      <c r="Z92" s="183"/>
      <c r="AA92" s="183"/>
      <c r="AB92" s="183"/>
      <c r="AC92" s="183"/>
      <c r="AD92" s="184"/>
    </row>
    <row r="93" spans="1:30" x14ac:dyDescent="0.25">
      <c r="C93" s="40"/>
      <c r="E93" s="38" t="s">
        <v>22</v>
      </c>
      <c r="F93" s="182"/>
      <c r="G93" s="183">
        <v>1</v>
      </c>
      <c r="H93" s="183"/>
      <c r="I93" s="183"/>
      <c r="J93" s="183"/>
      <c r="K93" s="183"/>
      <c r="L93" s="183"/>
      <c r="M93" s="183"/>
      <c r="N93" s="184"/>
      <c r="O93" s="185"/>
      <c r="P93" s="183"/>
      <c r="Q93" s="183"/>
      <c r="R93" s="183"/>
      <c r="S93" s="183"/>
      <c r="T93" s="183"/>
      <c r="U93" s="186"/>
      <c r="V93" s="182"/>
      <c r="W93" s="183"/>
      <c r="X93" s="183"/>
      <c r="Y93" s="183"/>
      <c r="Z93" s="183"/>
      <c r="AA93" s="183"/>
      <c r="AB93" s="183"/>
      <c r="AC93" s="183"/>
      <c r="AD93" s="184"/>
    </row>
    <row r="94" spans="1:30" x14ac:dyDescent="0.25">
      <c r="C94" s="40"/>
      <c r="E94" s="38" t="s">
        <v>34</v>
      </c>
      <c r="F94" s="182"/>
      <c r="G94" s="183"/>
      <c r="H94" s="183"/>
      <c r="I94" s="183"/>
      <c r="J94" s="183"/>
      <c r="K94" s="183"/>
      <c r="L94" s="183"/>
      <c r="M94" s="183"/>
      <c r="N94" s="184"/>
      <c r="O94" s="185"/>
      <c r="P94" s="183"/>
      <c r="Q94" s="183"/>
      <c r="R94" s="183"/>
      <c r="S94" s="183"/>
      <c r="T94" s="183"/>
      <c r="U94" s="186"/>
      <c r="V94" s="182"/>
      <c r="W94" s="183"/>
      <c r="X94" s="183"/>
      <c r="Y94" s="183"/>
      <c r="Z94" s="183"/>
      <c r="AA94" s="183"/>
      <c r="AB94" s="183"/>
      <c r="AC94" s="183"/>
      <c r="AD94" s="184"/>
    </row>
    <row r="95" spans="1:30" x14ac:dyDescent="0.25">
      <c r="C95" s="40"/>
      <c r="E95" s="38" t="s">
        <v>30</v>
      </c>
      <c r="F95" s="182"/>
      <c r="G95" s="183"/>
      <c r="H95" s="183"/>
      <c r="I95" s="183"/>
      <c r="J95" s="183"/>
      <c r="K95" s="183"/>
      <c r="L95" s="183"/>
      <c r="M95" s="183"/>
      <c r="N95" s="184"/>
      <c r="O95" s="185"/>
      <c r="P95" s="183"/>
      <c r="Q95" s="183"/>
      <c r="R95" s="183"/>
      <c r="S95" s="183"/>
      <c r="T95" s="183"/>
      <c r="U95" s="186"/>
      <c r="V95" s="182"/>
      <c r="W95" s="183"/>
      <c r="X95" s="183"/>
      <c r="Y95" s="183"/>
      <c r="Z95" s="183"/>
      <c r="AA95" s="183"/>
      <c r="AB95" s="183"/>
      <c r="AC95" s="183"/>
      <c r="AD95" s="184"/>
    </row>
    <row r="96" spans="1:30" x14ac:dyDescent="0.25">
      <c r="C96" s="40"/>
      <c r="E96" s="38" t="s">
        <v>29</v>
      </c>
      <c r="F96" s="182"/>
      <c r="G96" s="183"/>
      <c r="H96" s="183"/>
      <c r="I96" s="183"/>
      <c r="J96" s="183"/>
      <c r="K96" s="183"/>
      <c r="L96" s="183"/>
      <c r="M96" s="183"/>
      <c r="N96" s="184"/>
      <c r="O96" s="185"/>
      <c r="P96" s="183"/>
      <c r="Q96" s="183"/>
      <c r="R96" s="183"/>
      <c r="S96" s="183"/>
      <c r="T96" s="183"/>
      <c r="U96" s="186"/>
      <c r="V96" s="182"/>
      <c r="W96" s="183"/>
      <c r="X96" s="183"/>
      <c r="Y96" s="183"/>
      <c r="Z96" s="183"/>
      <c r="AA96" s="183"/>
      <c r="AB96" s="183"/>
      <c r="AC96" s="183"/>
      <c r="AD96" s="184"/>
    </row>
    <row r="97" spans="3:30" x14ac:dyDescent="0.25">
      <c r="C97" s="40"/>
      <c r="E97" s="38" t="s">
        <v>18</v>
      </c>
      <c r="F97" s="182"/>
      <c r="G97" s="183"/>
      <c r="H97" s="183"/>
      <c r="I97" s="183"/>
      <c r="J97" s="183"/>
      <c r="K97" s="183"/>
      <c r="L97" s="183"/>
      <c r="M97" s="183"/>
      <c r="N97" s="184"/>
      <c r="O97" s="185"/>
      <c r="P97" s="183"/>
      <c r="Q97" s="183"/>
      <c r="R97" s="183"/>
      <c r="S97" s="183"/>
      <c r="T97" s="183"/>
      <c r="U97" s="186"/>
      <c r="V97" s="182"/>
      <c r="W97" s="183"/>
      <c r="X97" s="183"/>
      <c r="Y97" s="183"/>
      <c r="Z97" s="183"/>
      <c r="AA97" s="183">
        <v>1</v>
      </c>
      <c r="AB97" s="183">
        <v>1</v>
      </c>
      <c r="AC97" s="183">
        <v>1</v>
      </c>
      <c r="AD97" s="184">
        <v>1</v>
      </c>
    </row>
    <row r="98" spans="3:30" x14ac:dyDescent="0.25">
      <c r="C98" s="40"/>
      <c r="E98" s="38" t="s">
        <v>196</v>
      </c>
      <c r="F98" s="182"/>
      <c r="G98" s="183"/>
      <c r="H98" s="183"/>
      <c r="I98" s="183"/>
      <c r="J98" s="183"/>
      <c r="K98" s="183"/>
      <c r="L98" s="183"/>
      <c r="M98" s="183"/>
      <c r="N98" s="184"/>
      <c r="O98" s="185"/>
      <c r="P98" s="183"/>
      <c r="Q98" s="183"/>
      <c r="R98" s="183"/>
      <c r="S98" s="183"/>
      <c r="T98" s="183"/>
      <c r="U98" s="186"/>
      <c r="V98" s="182"/>
      <c r="W98" s="183"/>
      <c r="X98" s="183"/>
      <c r="Y98" s="183"/>
      <c r="Z98" s="183"/>
      <c r="AA98" s="183"/>
      <c r="AB98" s="183"/>
      <c r="AC98" s="183"/>
      <c r="AD98" s="184"/>
    </row>
    <row r="99" spans="3:30" ht="15.75" thickBot="1" x14ac:dyDescent="0.3">
      <c r="C99" s="40"/>
      <c r="E99" s="39" t="s">
        <v>23</v>
      </c>
      <c r="F99" s="187"/>
      <c r="G99" s="188"/>
      <c r="H99" s="188"/>
      <c r="I99" s="188"/>
      <c r="J99" s="188"/>
      <c r="K99" s="188"/>
      <c r="L99" s="188"/>
      <c r="M99" s="188"/>
      <c r="N99" s="189"/>
      <c r="O99" s="190"/>
      <c r="P99" s="191"/>
      <c r="Q99" s="191"/>
      <c r="R99" s="191"/>
      <c r="S99" s="191"/>
      <c r="T99" s="191"/>
      <c r="U99" s="192"/>
      <c r="V99" s="187"/>
      <c r="W99" s="188"/>
      <c r="X99" s="188"/>
      <c r="Y99" s="188"/>
      <c r="Z99" s="188"/>
      <c r="AA99" s="188"/>
      <c r="AB99" s="188"/>
      <c r="AC99" s="188"/>
      <c r="AD99" s="189"/>
    </row>
    <row r="100" spans="3:30" x14ac:dyDescent="0.25">
      <c r="C100" s="40"/>
      <c r="E100" s="37" t="s">
        <v>35</v>
      </c>
      <c r="F100" s="193"/>
      <c r="G100" s="194"/>
      <c r="H100" s="194"/>
      <c r="I100" s="194"/>
      <c r="J100" s="194"/>
      <c r="K100" s="194"/>
      <c r="L100" s="194"/>
      <c r="M100" s="194"/>
      <c r="N100" s="195"/>
      <c r="O100" s="177"/>
      <c r="P100" s="178"/>
      <c r="Q100" s="178"/>
      <c r="R100" s="178"/>
      <c r="S100" s="178"/>
      <c r="T100" s="178"/>
      <c r="U100" s="179"/>
      <c r="V100" s="196"/>
      <c r="W100" s="194"/>
      <c r="X100" s="194"/>
      <c r="Y100" s="194"/>
      <c r="Z100" s="194"/>
      <c r="AA100" s="194"/>
      <c r="AB100" s="194"/>
      <c r="AC100" s="194"/>
      <c r="AD100" s="197"/>
    </row>
    <row r="101" spans="3:30" x14ac:dyDescent="0.25">
      <c r="C101" s="40"/>
      <c r="E101" s="44" t="s">
        <v>36</v>
      </c>
      <c r="F101" s="198"/>
      <c r="G101" s="199"/>
      <c r="H101" s="199"/>
      <c r="I101" s="199"/>
      <c r="J101" s="199"/>
      <c r="K101" s="199"/>
      <c r="L101" s="199"/>
      <c r="M101" s="199"/>
      <c r="N101" s="200"/>
      <c r="O101" s="198"/>
      <c r="P101" s="199"/>
      <c r="Q101" s="199"/>
      <c r="R101" s="199"/>
      <c r="S101" s="199"/>
      <c r="T101" s="199"/>
      <c r="U101" s="201"/>
      <c r="V101" s="202"/>
      <c r="W101" s="199"/>
      <c r="X101" s="199"/>
      <c r="Y101" s="199"/>
      <c r="Z101" s="199"/>
      <c r="AA101" s="199"/>
      <c r="AB101" s="199"/>
      <c r="AC101" s="199"/>
      <c r="AD101" s="201"/>
    </row>
    <row r="102" spans="3:30" x14ac:dyDescent="0.25">
      <c r="C102" s="40"/>
      <c r="E102" s="44" t="s">
        <v>37</v>
      </c>
      <c r="F102" s="198"/>
      <c r="G102" s="199"/>
      <c r="H102" s="199"/>
      <c r="I102" s="199"/>
      <c r="J102" s="199"/>
      <c r="K102" s="199"/>
      <c r="L102" s="199"/>
      <c r="M102" s="199"/>
      <c r="N102" s="200"/>
      <c r="O102" s="198"/>
      <c r="P102" s="199"/>
      <c r="Q102" s="199"/>
      <c r="R102" s="199"/>
      <c r="S102" s="199"/>
      <c r="T102" s="199"/>
      <c r="U102" s="201"/>
      <c r="V102" s="202"/>
      <c r="W102" s="199"/>
      <c r="X102" s="199"/>
      <c r="Y102" s="199"/>
      <c r="Z102" s="199"/>
      <c r="AA102" s="199"/>
      <c r="AB102" s="199"/>
      <c r="AC102" s="199"/>
      <c r="AD102" s="201"/>
    </row>
    <row r="103" spans="3:30" x14ac:dyDescent="0.25">
      <c r="C103" s="40"/>
      <c r="E103" s="44" t="s">
        <v>38</v>
      </c>
      <c r="F103" s="198"/>
      <c r="G103" s="199"/>
      <c r="H103" s="199"/>
      <c r="I103" s="199"/>
      <c r="J103" s="199"/>
      <c r="K103" s="199"/>
      <c r="L103" s="199"/>
      <c r="M103" s="199"/>
      <c r="N103" s="200"/>
      <c r="O103" s="198"/>
      <c r="P103" s="199"/>
      <c r="Q103" s="199"/>
      <c r="R103" s="199"/>
      <c r="S103" s="199"/>
      <c r="T103" s="199"/>
      <c r="U103" s="201"/>
      <c r="V103" s="202"/>
      <c r="W103" s="199"/>
      <c r="X103" s="199"/>
      <c r="Y103" s="199"/>
      <c r="Z103" s="199"/>
      <c r="AA103" s="199"/>
      <c r="AB103" s="199"/>
      <c r="AC103" s="199"/>
      <c r="AD103" s="201"/>
    </row>
    <row r="104" spans="3:30" x14ac:dyDescent="0.25">
      <c r="C104" s="40"/>
      <c r="E104" s="44" t="s">
        <v>39</v>
      </c>
      <c r="F104" s="198"/>
      <c r="G104" s="199"/>
      <c r="H104" s="199"/>
      <c r="I104" s="199"/>
      <c r="J104" s="199"/>
      <c r="K104" s="199"/>
      <c r="L104" s="199"/>
      <c r="M104" s="199"/>
      <c r="N104" s="200"/>
      <c r="O104" s="198"/>
      <c r="P104" s="199"/>
      <c r="Q104" s="199"/>
      <c r="R104" s="199"/>
      <c r="S104" s="199"/>
      <c r="T104" s="199"/>
      <c r="U104" s="201"/>
      <c r="V104" s="202"/>
      <c r="W104" s="199"/>
      <c r="X104" s="199"/>
      <c r="Y104" s="199"/>
      <c r="Z104" s="199"/>
      <c r="AA104" s="199"/>
      <c r="AB104" s="199"/>
      <c r="AC104" s="199"/>
      <c r="AD104" s="201"/>
    </row>
    <row r="105" spans="3:30" x14ac:dyDescent="0.25">
      <c r="C105" s="40"/>
      <c r="E105" s="44" t="s">
        <v>40</v>
      </c>
      <c r="F105" s="198"/>
      <c r="G105" s="199"/>
      <c r="H105" s="199"/>
      <c r="I105" s="199"/>
      <c r="J105" s="199"/>
      <c r="K105" s="199"/>
      <c r="L105" s="199"/>
      <c r="M105" s="199"/>
      <c r="N105" s="200"/>
      <c r="O105" s="198"/>
      <c r="P105" s="199"/>
      <c r="Q105" s="199"/>
      <c r="R105" s="199"/>
      <c r="S105" s="199"/>
      <c r="T105" s="199"/>
      <c r="U105" s="201"/>
      <c r="V105" s="202"/>
      <c r="W105" s="199"/>
      <c r="X105" s="199"/>
      <c r="Y105" s="199"/>
      <c r="Z105" s="199"/>
      <c r="AA105" s="199"/>
      <c r="AB105" s="199"/>
      <c r="AC105" s="199"/>
      <c r="AD105" s="201"/>
    </row>
    <row r="106" spans="3:30" ht="15.75" thickBot="1" x14ac:dyDescent="0.3">
      <c r="C106" s="40"/>
      <c r="E106" s="45" t="s">
        <v>41</v>
      </c>
      <c r="F106" s="203"/>
      <c r="G106" s="204"/>
      <c r="H106" s="204"/>
      <c r="I106" s="204"/>
      <c r="J106" s="204"/>
      <c r="K106" s="204"/>
      <c r="L106" s="204"/>
      <c r="M106" s="204"/>
      <c r="N106" s="205"/>
      <c r="O106" s="206"/>
      <c r="P106" s="207"/>
      <c r="Q106" s="207"/>
      <c r="R106" s="207"/>
      <c r="S106" s="207"/>
      <c r="T106" s="207"/>
      <c r="U106" s="208"/>
      <c r="V106" s="209"/>
      <c r="W106" s="204"/>
      <c r="X106" s="204"/>
      <c r="Y106" s="204"/>
      <c r="Z106" s="204"/>
      <c r="AA106" s="204"/>
      <c r="AB106" s="204"/>
      <c r="AC106" s="204"/>
      <c r="AD106" s="210"/>
    </row>
    <row r="107" spans="3:30" x14ac:dyDescent="0.25">
      <c r="C107" s="40"/>
      <c r="E107" s="43" t="s">
        <v>42</v>
      </c>
      <c r="F107" s="211"/>
      <c r="G107" s="212"/>
      <c r="H107" s="212"/>
      <c r="I107" s="212"/>
      <c r="J107" s="212"/>
      <c r="K107" s="212"/>
      <c r="L107" s="212"/>
      <c r="M107" s="212"/>
      <c r="N107" s="213"/>
      <c r="O107" s="214"/>
      <c r="P107" s="215"/>
      <c r="Q107" s="215"/>
      <c r="R107" s="215"/>
      <c r="S107" s="215"/>
      <c r="T107" s="215"/>
      <c r="U107" s="216"/>
      <c r="V107" s="211"/>
      <c r="W107" s="212"/>
      <c r="X107" s="212"/>
      <c r="Y107" s="212"/>
      <c r="Z107" s="212"/>
      <c r="AA107" s="212"/>
      <c r="AB107" s="212"/>
      <c r="AC107" s="212"/>
      <c r="AD107" s="213"/>
    </row>
    <row r="108" spans="3:30" x14ac:dyDescent="0.25">
      <c r="C108" s="40"/>
      <c r="E108" s="44" t="s">
        <v>43</v>
      </c>
      <c r="F108" s="198"/>
      <c r="G108" s="199"/>
      <c r="H108" s="199"/>
      <c r="I108" s="199"/>
      <c r="J108" s="199"/>
      <c r="K108" s="199"/>
      <c r="L108" s="199"/>
      <c r="M108" s="199"/>
      <c r="N108" s="201"/>
      <c r="O108" s="202"/>
      <c r="P108" s="199"/>
      <c r="Q108" s="199"/>
      <c r="R108" s="199"/>
      <c r="S108" s="199"/>
      <c r="T108" s="199"/>
      <c r="U108" s="200"/>
      <c r="V108" s="198"/>
      <c r="W108" s="199"/>
      <c r="X108" s="199"/>
      <c r="Y108" s="199"/>
      <c r="Z108" s="199"/>
      <c r="AA108" s="199"/>
      <c r="AB108" s="199"/>
      <c r="AC108" s="199"/>
      <c r="AD108" s="201"/>
    </row>
    <row r="109" spans="3:30" x14ac:dyDescent="0.25">
      <c r="C109" s="40"/>
      <c r="E109" s="44" t="s">
        <v>44</v>
      </c>
      <c r="F109" s="198"/>
      <c r="G109" s="199"/>
      <c r="H109" s="199"/>
      <c r="I109" s="199"/>
      <c r="J109" s="199"/>
      <c r="K109" s="199"/>
      <c r="L109" s="199"/>
      <c r="M109" s="199"/>
      <c r="N109" s="201"/>
      <c r="O109" s="202"/>
      <c r="P109" s="199"/>
      <c r="Q109" s="199"/>
      <c r="R109" s="199"/>
      <c r="S109" s="199"/>
      <c r="T109" s="199"/>
      <c r="U109" s="200"/>
      <c r="V109" s="198"/>
      <c r="W109" s="199"/>
      <c r="X109" s="199"/>
      <c r="Y109" s="199"/>
      <c r="Z109" s="199"/>
      <c r="AA109" s="199"/>
      <c r="AB109" s="199"/>
      <c r="AC109" s="199"/>
      <c r="AD109" s="201"/>
    </row>
    <row r="110" spans="3:30" x14ac:dyDescent="0.25">
      <c r="C110" s="40"/>
      <c r="E110" s="44" t="s">
        <v>45</v>
      </c>
      <c r="F110" s="198"/>
      <c r="G110" s="199"/>
      <c r="H110" s="199"/>
      <c r="I110" s="199"/>
      <c r="J110" s="199"/>
      <c r="K110" s="199"/>
      <c r="L110" s="199"/>
      <c r="M110" s="199"/>
      <c r="N110" s="201"/>
      <c r="O110" s="202"/>
      <c r="P110" s="199"/>
      <c r="Q110" s="199"/>
      <c r="R110" s="199"/>
      <c r="S110" s="199"/>
      <c r="T110" s="199"/>
      <c r="U110" s="200"/>
      <c r="V110" s="198"/>
      <c r="W110" s="199"/>
      <c r="X110" s="199"/>
      <c r="Y110" s="199"/>
      <c r="Z110" s="199"/>
      <c r="AA110" s="199"/>
      <c r="AB110" s="199"/>
      <c r="AC110" s="199"/>
      <c r="AD110" s="201"/>
    </row>
    <row r="111" spans="3:30" x14ac:dyDescent="0.25">
      <c r="C111" s="40"/>
      <c r="E111" s="44" t="s">
        <v>46</v>
      </c>
      <c r="F111" s="198"/>
      <c r="G111" s="199"/>
      <c r="H111" s="199"/>
      <c r="I111" s="199"/>
      <c r="J111" s="199"/>
      <c r="K111" s="199"/>
      <c r="L111" s="199"/>
      <c r="M111" s="199"/>
      <c r="N111" s="201"/>
      <c r="O111" s="202"/>
      <c r="P111" s="199"/>
      <c r="Q111" s="199"/>
      <c r="R111" s="199"/>
      <c r="S111" s="199"/>
      <c r="T111" s="199"/>
      <c r="U111" s="200"/>
      <c r="V111" s="198"/>
      <c r="W111" s="199"/>
      <c r="X111" s="199"/>
      <c r="Y111" s="199"/>
      <c r="Z111" s="199"/>
      <c r="AA111" s="199"/>
      <c r="AB111" s="199"/>
      <c r="AC111" s="199"/>
      <c r="AD111" s="201"/>
    </row>
    <row r="112" spans="3:30" x14ac:dyDescent="0.25">
      <c r="C112" s="40"/>
      <c r="E112" s="44" t="s">
        <v>47</v>
      </c>
      <c r="F112" s="198"/>
      <c r="G112" s="199"/>
      <c r="H112" s="199"/>
      <c r="I112" s="199"/>
      <c r="J112" s="199"/>
      <c r="K112" s="199"/>
      <c r="L112" s="199"/>
      <c r="M112" s="199"/>
      <c r="N112" s="201"/>
      <c r="O112" s="202"/>
      <c r="P112" s="199"/>
      <c r="Q112" s="199"/>
      <c r="R112" s="199"/>
      <c r="S112" s="199"/>
      <c r="T112" s="199"/>
      <c r="U112" s="200"/>
      <c r="V112" s="198"/>
      <c r="W112" s="199"/>
      <c r="X112" s="199"/>
      <c r="Y112" s="199"/>
      <c r="Z112" s="199"/>
      <c r="AA112" s="199"/>
      <c r="AB112" s="199"/>
      <c r="AC112" s="199"/>
      <c r="AD112" s="201"/>
    </row>
    <row r="113" spans="3:30" x14ac:dyDescent="0.25">
      <c r="C113" s="40"/>
      <c r="E113" s="44" t="s">
        <v>48</v>
      </c>
      <c r="F113" s="198"/>
      <c r="G113" s="199"/>
      <c r="H113" s="199"/>
      <c r="I113" s="199"/>
      <c r="J113" s="199"/>
      <c r="K113" s="199"/>
      <c r="L113" s="199"/>
      <c r="M113" s="199"/>
      <c r="N113" s="201"/>
      <c r="O113" s="202"/>
      <c r="P113" s="199"/>
      <c r="Q113" s="199"/>
      <c r="R113" s="199"/>
      <c r="S113" s="199"/>
      <c r="T113" s="199"/>
      <c r="U113" s="200"/>
      <c r="V113" s="198"/>
      <c r="W113" s="199"/>
      <c r="X113" s="199"/>
      <c r="Y113" s="199"/>
      <c r="Z113" s="199"/>
      <c r="AA113" s="199"/>
      <c r="AB113" s="199"/>
      <c r="AC113" s="199"/>
      <c r="AD113" s="201"/>
    </row>
    <row r="114" spans="3:30" x14ac:dyDescent="0.25">
      <c r="C114" s="40"/>
      <c r="E114" s="44" t="s">
        <v>49</v>
      </c>
      <c r="F114" s="198"/>
      <c r="G114" s="199"/>
      <c r="H114" s="199"/>
      <c r="I114" s="199"/>
      <c r="J114" s="199"/>
      <c r="K114" s="199"/>
      <c r="L114" s="199"/>
      <c r="M114" s="199"/>
      <c r="N114" s="201"/>
      <c r="O114" s="202"/>
      <c r="P114" s="199"/>
      <c r="Q114" s="199"/>
      <c r="R114" s="199"/>
      <c r="S114" s="199"/>
      <c r="T114" s="199"/>
      <c r="U114" s="200"/>
      <c r="V114" s="198"/>
      <c r="W114" s="199"/>
      <c r="X114" s="199"/>
      <c r="Y114" s="199"/>
      <c r="Z114" s="199"/>
      <c r="AA114" s="199"/>
      <c r="AB114" s="199"/>
      <c r="AC114" s="199"/>
      <c r="AD114" s="201"/>
    </row>
    <row r="115" spans="3:30" ht="15.75" thickBot="1" x14ac:dyDescent="0.3">
      <c r="C115" s="40"/>
      <c r="E115" s="45" t="s">
        <v>50</v>
      </c>
      <c r="F115" s="206"/>
      <c r="G115" s="207"/>
      <c r="H115" s="207"/>
      <c r="I115" s="207"/>
      <c r="J115" s="207"/>
      <c r="K115" s="207"/>
      <c r="L115" s="207"/>
      <c r="M115" s="207"/>
      <c r="N115" s="208"/>
      <c r="O115" s="217"/>
      <c r="P115" s="207"/>
      <c r="Q115" s="207"/>
      <c r="R115" s="207"/>
      <c r="S115" s="207"/>
      <c r="T115" s="207"/>
      <c r="U115" s="218"/>
      <c r="V115" s="206"/>
      <c r="W115" s="207"/>
      <c r="X115" s="207"/>
      <c r="Y115" s="207"/>
      <c r="Z115" s="207"/>
      <c r="AA115" s="207"/>
      <c r="AB115" s="207"/>
      <c r="AC115" s="207"/>
      <c r="AD115" s="208"/>
    </row>
    <row r="116" spans="3:30" x14ac:dyDescent="0.25">
      <c r="C116" s="40"/>
      <c r="E116" s="35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</row>
  </sheetData>
  <sheetProtection algorithmName="SHA-512" hashValue="3ImETGOKmEifWB3AMmoDGD7KZ0aulmX738KZA+U4UkXBSWbOBsC6IXnMcbhWZ99eV/DIMbGa/KS8ZNvzCZ6hGw==" saltValue="6VeAjgLwloZ2jcCaIVQhnQ==" spinCount="100000" sheet="1" objects="1" scenarios="1" select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deca28-6d4b-4be0-9ef8-83e007844c68" xsi:nil="true"/>
    <lcf76f155ced4ddcb4097134ff3c332f xmlns="d8da67f0-e54c-4303-bf23-5e9c6b8c66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CABAF349658448EDDA96698D8195A" ma:contentTypeVersion="15" ma:contentTypeDescription="Create a new document." ma:contentTypeScope="" ma:versionID="9b9aa41c1c3f92a4393042be3b8fa4a8">
  <xsd:schema xmlns:xsd="http://www.w3.org/2001/XMLSchema" xmlns:xs="http://www.w3.org/2001/XMLSchema" xmlns:p="http://schemas.microsoft.com/office/2006/metadata/properties" xmlns:ns2="d8da67f0-e54c-4303-bf23-5e9c6b8c6618" xmlns:ns3="95deca28-6d4b-4be0-9ef8-83e007844c68" targetNamespace="http://schemas.microsoft.com/office/2006/metadata/properties" ma:root="true" ma:fieldsID="c5cc3e634a64ac48eaa6cc05c978f3c4" ns2:_="" ns3:_="">
    <xsd:import namespace="d8da67f0-e54c-4303-bf23-5e9c6b8c6618"/>
    <xsd:import namespace="95deca28-6d4b-4be0-9ef8-83e007844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a67f0-e54c-4303-bf23-5e9c6b8c6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4b1000-6231-4c87-9795-f89bd74ad1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eca28-6d4b-4be0-9ef8-83e007844c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9921e65-cb9c-4bcd-af06-c5dd81a28c19}" ma:internalName="TaxCatchAll" ma:showField="CatchAllData" ma:web="95deca28-6d4b-4be0-9ef8-83e007844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4DF334-567D-4CF2-A61E-1A0A79119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E1D01-01D4-40B5-AF4B-C27457A798AA}">
  <ds:schemaRefs>
    <ds:schemaRef ds:uri="http://schemas.openxmlformats.org/package/2006/metadata/core-properties"/>
    <ds:schemaRef ds:uri="http://schemas.microsoft.com/office/infopath/2007/PartnerControls"/>
    <ds:schemaRef ds:uri="d8da67f0-e54c-4303-bf23-5e9c6b8c6618"/>
    <ds:schemaRef ds:uri="http://schemas.microsoft.com/office/2006/metadata/properties"/>
    <ds:schemaRef ds:uri="http://schemas.microsoft.com/office/2006/documentManagement/types"/>
    <ds:schemaRef ds:uri="http://purl.org/dc/elements/1.1/"/>
    <ds:schemaRef ds:uri="95deca28-6d4b-4be0-9ef8-83e007844c68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A1F55B-A992-4D3E-9DBB-305163B01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a67f0-e54c-4303-bf23-5e9c6b8c6618"/>
    <ds:schemaRef ds:uri="95deca28-6d4b-4be0-9ef8-83e007844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Results</vt:lpstr>
      <vt:lpstr>CWD</vt:lpstr>
      <vt:lpstr>CAA</vt:lpstr>
      <vt:lpstr>Inputs Volumes &amp; Flows</vt:lpstr>
      <vt:lpstr>Distances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2019-10-21T08:36:33Z</cp:lastPrinted>
  <dcterms:created xsi:type="dcterms:W3CDTF">2018-10-09T15:02:03Z</dcterms:created>
  <dcterms:modified xsi:type="dcterms:W3CDTF">2023-12-21T10:21:55Z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0x01010054FCABAF349658448EDDA96698D8195A</vt:lpwstr>
  </property>
  <property fmtid="{D5CDD505-2E9C-101B-9397-08002B2CF9AE}" pid="3" name="MediaServiceImageTags">
    <vt:lpwstr/>
  </property>
</Properties>
</file>