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Vorlagen\GSNE-VO\"/>
    </mc:Choice>
  </mc:AlternateContent>
  <xr:revisionPtr revIDLastSave="0" documentId="13_ncr:1_{C1E8EF49-C1D3-41F5-8732-1583C9179D9F}" xr6:coauthVersionLast="44" xr6:coauthVersionMax="44" xr10:uidLastSave="{00000000-0000-0000-0000-000000000000}"/>
  <bookViews>
    <workbookView xWindow="-108" yWindow="-108" windowWidth="23256" windowHeight="12576" tabRatio="873" xr2:uid="{00000000-000D-0000-FFFF-FFFF00000000}"/>
  </bookViews>
  <sheets>
    <sheet name="Overview" sheetId="1" r:id="rId1"/>
    <sheet name="Calc&gt;Tariffs" sheetId="7" r:id="rId2"/>
    <sheet name="VTPB" sheetId="2" r:id="rId3"/>
    <sheet name="CAA" sheetId="23" r:id="rId4"/>
    <sheet name="Benchmark Murfeld" sheetId="38" r:id="rId5"/>
    <sheet name="Parameters&gt;" sheetId="6" r:id="rId6"/>
    <sheet name="Reference VO 4RP" sheetId="11" r:id="rId7"/>
    <sheet name="Distances" sheetId="24" r:id="rId8"/>
  </sheets>
  <externalReferences>
    <externalReference r:id="rId9"/>
    <externalReference r:id="rId10"/>
  </externalReferences>
  <definedNames>
    <definedName name="_xlnm._FilterDatabase" localSheetId="6" hidden="1">'Reference VO 4RP'!$A$4:$G$34</definedName>
    <definedName name="_xlnm._FilterDatabase" localSheetId="2" hidden="1">VTPB!$A$1:$E$3</definedName>
    <definedName name="AC_total">'[1]Cover, Parameters'!$E$43</definedName>
    <definedName name="base_tariff_entry">VTPB!#REF!</definedName>
    <definedName name="base_tariff_exit">VTPB!#REF!</definedName>
    <definedName name="benchmark_m">Overview!$C$9</definedName>
    <definedName name="benchmark_moso">Overview!#REF!</definedName>
    <definedName name="CAA_forecasted">Overview!$C$11</definedName>
    <definedName name="costs_capacity">VTPB!$C$3</definedName>
    <definedName name="costs_exit">[1]VTPB!$C$36</definedName>
    <definedName name="costs_GCA">Overview!$C$18</definedName>
    <definedName name="costs_GCA_var">Overview!#REF!</definedName>
    <definedName name="costs_TAG">Overview!$C$21</definedName>
    <definedName name="costs_TAG_var">Overview!#REF!</definedName>
    <definedName name="CT_apply">Overview!#REF!</definedName>
    <definedName name="CT_costshare">Overview!#REF!</definedName>
    <definedName name="CT_entry">#REF!</definedName>
    <definedName name="CT_entry_costshare">Overview!#REF!</definedName>
    <definedName name="CT_entry_flat">#REF!</definedName>
    <definedName name="CT_exit">#REF!</definedName>
    <definedName name="CT_exit_flat">#REF!</definedName>
    <definedName name="CT_included">Overview!#REF!</definedName>
    <definedName name="CWD_DZK">Overview!#REF!</definedName>
    <definedName name="diff_MuMo_act">Overview!#REF!</definedName>
    <definedName name="diff_MuMo_plan">Overview!#REF!</definedName>
    <definedName name="discount_DZK">Overview!$C$4</definedName>
    <definedName name="discount_storage_entry">Overview!$C$5</definedName>
    <definedName name="discount_storage_exit">Overview!$C$6</definedName>
    <definedName name="EX_split_entry_theor">VTPB!$C$26</definedName>
    <definedName name="GCV">Overview!$C$3</definedName>
    <definedName name="ITC_cap">#REF!</definedName>
    <definedName name="ITC_cap_GCA">#REF!</definedName>
    <definedName name="ITC_cap_TAG">#REF!</definedName>
    <definedName name="ITC_from_GCA">#REF!</definedName>
    <definedName name="ITC_from_TAG">#REF!</definedName>
    <definedName name="ITC_rescaling_required">#REF!</definedName>
    <definedName name="keep_constant">Overview!#REF!</definedName>
    <definedName name="manual_split">Overview!#REF!</definedName>
    <definedName name="max_decrease">Overview!#REF!</definedName>
    <definedName name="max_decrease_m">Overview!#REF!</definedName>
    <definedName name="max_increase">Overview!$C$8</definedName>
    <definedName name="max_increase_BgmT">Overview!#REF!</definedName>
    <definedName name="max_increase_stor">Overview!#REF!</definedName>
    <definedName name="max_increaseBgmT">Overview!#REF!</definedName>
    <definedName name="NIC_distance">Overview!$C$10</definedName>
    <definedName name="rescaling_entry">VTPB!#REF!</definedName>
    <definedName name="rescaling_exit">VTPB!#REF!</definedName>
    <definedName name="scenario_BMGTex">Overview!#REF!</definedName>
    <definedName name="scenario_costs">Overview!#REF!</definedName>
    <definedName name="scenario_flows">Overview!#REF!</definedName>
    <definedName name="scenario_refvol">Overview!#REF!</definedName>
    <definedName name="scenario_tariffs">Overview!#REF!</definedName>
    <definedName name="solver_adj" localSheetId="0" hidden="1">Overview!$C$9</definedName>
    <definedName name="Solver_Condition">#REF!</definedName>
    <definedName name="solver_cvg" localSheetId="0" hidden="1">0.0001</definedName>
    <definedName name="Solver_Debug">#REF!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Overview!#REF!</definedName>
    <definedName name="Solver_Params">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run">#REF!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0.993959579821011</definedName>
    <definedName name="solver_ver" localSheetId="0" hidden="1">3</definedName>
    <definedName name="SolverVar1">#REF!</definedName>
    <definedName name="SolverVar10">#REF!</definedName>
    <definedName name="SolverVar11">#REF!</definedName>
    <definedName name="SolverVar2">#REF!</definedName>
    <definedName name="SolverVar3">#REF!</definedName>
    <definedName name="SolverVar4">#REF!</definedName>
    <definedName name="SolverVar5">#REF!</definedName>
    <definedName name="SolverVar6">#REF!</definedName>
    <definedName name="SolverVar7">#REF!</definedName>
    <definedName name="SolverVar8">#REF!</definedName>
    <definedName name="SolverVar9">#REF!</definedName>
    <definedName name="SolverVarBase">#REF!</definedName>
    <definedName name="VG_discount">Overview!$C$7</definedName>
    <definedName name="VG_discount_entry">Overview!$C$6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4" l="1"/>
  <c r="H4" i="24"/>
  <c r="G4" i="24"/>
  <c r="F4" i="24"/>
  <c r="E5" i="24"/>
  <c r="F16" i="23"/>
  <c r="G16" i="23"/>
  <c r="H16" i="23"/>
  <c r="I16" i="23"/>
  <c r="J16" i="23"/>
  <c r="K16" i="23"/>
  <c r="L16" i="23"/>
  <c r="M16" i="23"/>
  <c r="E16" i="23"/>
  <c r="P6" i="23"/>
  <c r="P7" i="23"/>
  <c r="P8" i="23"/>
  <c r="P9" i="23"/>
  <c r="P10" i="23"/>
  <c r="P11" i="23"/>
  <c r="P12" i="23"/>
  <c r="P13" i="23"/>
  <c r="P14" i="23"/>
  <c r="P15" i="23"/>
  <c r="E26" i="24"/>
  <c r="E27" i="24"/>
  <c r="E28" i="24"/>
  <c r="E25" i="24"/>
  <c r="E23" i="24"/>
  <c r="E24" i="24"/>
  <c r="E29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8" i="24"/>
  <c r="E9" i="24" l="1"/>
  <c r="E6" i="24"/>
  <c r="E7" i="24"/>
  <c r="J35" i="2"/>
  <c r="J36" i="2"/>
  <c r="J37" i="2"/>
  <c r="J38" i="2"/>
  <c r="J39" i="2"/>
  <c r="J40" i="2"/>
  <c r="J41" i="2"/>
  <c r="J42" i="2"/>
  <c r="J34" i="2"/>
  <c r="J10" i="2"/>
  <c r="J11" i="2"/>
  <c r="J12" i="2"/>
  <c r="J13" i="2"/>
  <c r="J14" i="2"/>
  <c r="J15" i="2"/>
  <c r="J16" i="2"/>
  <c r="J17" i="2"/>
  <c r="J18" i="2"/>
  <c r="J9" i="2"/>
  <c r="H6" i="11" l="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5" i="11"/>
  <c r="L5" i="1" l="1"/>
  <c r="L40" i="1" s="1"/>
  <c r="J43" i="2"/>
  <c r="J44" i="2"/>
  <c r="J45" i="2"/>
  <c r="J46" i="2"/>
  <c r="J47" i="2"/>
  <c r="J48" i="2"/>
  <c r="J50" i="2"/>
  <c r="J51" i="2"/>
  <c r="J52" i="2"/>
  <c r="J53" i="2"/>
  <c r="J54" i="2"/>
  <c r="J55" i="2"/>
  <c r="J56" i="2"/>
  <c r="J57" i="2"/>
  <c r="J58" i="2"/>
  <c r="C21" i="1" l="1"/>
  <c r="C18" i="1"/>
  <c r="K35" i="2"/>
  <c r="K36" i="2"/>
  <c r="K37" i="2"/>
  <c r="K38" i="2"/>
  <c r="K39" i="2"/>
  <c r="K41" i="2"/>
  <c r="K42" i="2"/>
  <c r="K34" i="2"/>
  <c r="K10" i="2"/>
  <c r="K11" i="2"/>
  <c r="K13" i="2"/>
  <c r="K14" i="2"/>
  <c r="K15" i="2"/>
  <c r="K16" i="2"/>
  <c r="K17" i="2"/>
  <c r="K18" i="2"/>
  <c r="K44" i="2"/>
  <c r="K45" i="2"/>
  <c r="K46" i="2"/>
  <c r="K48" i="2"/>
  <c r="K49" i="2"/>
  <c r="K50" i="2"/>
  <c r="K51" i="2"/>
  <c r="K52" i="2"/>
  <c r="K53" i="2"/>
  <c r="K54" i="2"/>
  <c r="K55" i="2"/>
  <c r="K56" i="2"/>
  <c r="K57" i="2"/>
  <c r="K58" i="2"/>
  <c r="F9" i="2"/>
  <c r="P3" i="2" l="1"/>
  <c r="C2" i="2"/>
  <c r="C3" i="2"/>
  <c r="I6" i="23" l="1"/>
  <c r="H11" i="24" l="1"/>
  <c r="F10" i="24"/>
  <c r="F35" i="2"/>
  <c r="F34" i="2"/>
  <c r="C64" i="2" s="1"/>
  <c r="F36" i="2"/>
  <c r="F37" i="2"/>
  <c r="C65" i="2" s="1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E38" i="2"/>
  <c r="E35" i="2" s="1"/>
  <c r="E9" i="2"/>
  <c r="G9" i="2" s="1"/>
  <c r="F10" i="2"/>
  <c r="F12" i="2"/>
  <c r="F13" i="2"/>
  <c r="F15" i="2"/>
  <c r="F17" i="2"/>
  <c r="E10" i="2"/>
  <c r="E11" i="2"/>
  <c r="E12" i="2"/>
  <c r="G12" i="2" s="1"/>
  <c r="E13" i="2"/>
  <c r="E14" i="2"/>
  <c r="E15" i="2"/>
  <c r="E16" i="2"/>
  <c r="G16" i="2" s="1"/>
  <c r="E17" i="2"/>
  <c r="G17" i="2" s="1"/>
  <c r="M34" i="2"/>
  <c r="M35" i="2"/>
  <c r="M36" i="2"/>
  <c r="E34" i="2"/>
  <c r="E36" i="2"/>
  <c r="E37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B66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N9" i="2"/>
  <c r="M9" i="2"/>
  <c r="N16" i="11"/>
  <c r="L19" i="11"/>
  <c r="F38" i="2" s="1"/>
  <c r="L7" i="11"/>
  <c r="F11" i="2" s="1"/>
  <c r="K12" i="2"/>
  <c r="K40" i="2"/>
  <c r="H8" i="1"/>
  <c r="H9" i="1"/>
  <c r="H10" i="1"/>
  <c r="H11" i="1"/>
  <c r="H12" i="1"/>
  <c r="H13" i="1"/>
  <c r="H14" i="1"/>
  <c r="H15" i="1"/>
  <c r="H16" i="1"/>
  <c r="H17" i="1"/>
  <c r="C9" i="1" s="1"/>
  <c r="H18" i="1"/>
  <c r="H19" i="1"/>
  <c r="H20" i="1"/>
  <c r="H21" i="1"/>
  <c r="H23" i="1"/>
  <c r="H24" i="1"/>
  <c r="H25" i="1"/>
  <c r="H26" i="1"/>
  <c r="G26" i="1" s="1"/>
  <c r="H27" i="1"/>
  <c r="G27" i="1" s="1"/>
  <c r="H28" i="1"/>
  <c r="H29" i="1"/>
  <c r="H30" i="1"/>
  <c r="H31" i="1"/>
  <c r="H44" i="1"/>
  <c r="H45" i="1"/>
  <c r="H46" i="1"/>
  <c r="H47" i="1"/>
  <c r="H48" i="1"/>
  <c r="H49" i="1"/>
  <c r="I70" i="2"/>
  <c r="F18" i="38"/>
  <c r="F8" i="38"/>
  <c r="P18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Q33" i="2"/>
  <c r="AR33" i="2"/>
  <c r="P33" i="2"/>
  <c r="G7" i="38"/>
  <c r="M18" i="2"/>
  <c r="R18" i="2" s="1"/>
  <c r="V18" i="2" s="1"/>
  <c r="AK18" i="2" s="1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P42" i="2"/>
  <c r="P41" i="2"/>
  <c r="T34" i="2"/>
  <c r="T18" i="2"/>
  <c r="T17" i="2"/>
  <c r="T16" i="2"/>
  <c r="T15" i="2"/>
  <c r="T10" i="2"/>
  <c r="T11" i="2"/>
  <c r="T12" i="2"/>
  <c r="T9" i="2"/>
  <c r="T14" i="2"/>
  <c r="T13" i="2"/>
  <c r="P14" i="2"/>
  <c r="P13" i="2"/>
  <c r="Z18" i="2"/>
  <c r="J26" i="24"/>
  <c r="J27" i="24"/>
  <c r="J28" i="24"/>
  <c r="J25" i="24"/>
  <c r="J24" i="24"/>
  <c r="J23" i="24"/>
  <c r="J18" i="24" s="1"/>
  <c r="J16" i="24"/>
  <c r="J14" i="24"/>
  <c r="J20" i="24"/>
  <c r="J21" i="24"/>
  <c r="J19" i="24"/>
  <c r="J15" i="24"/>
  <c r="J22" i="24"/>
  <c r="J17" i="24"/>
  <c r="F19" i="24"/>
  <c r="I29" i="24"/>
  <c r="H29" i="24"/>
  <c r="G29" i="24"/>
  <c r="F29" i="24"/>
  <c r="I28" i="24"/>
  <c r="H28" i="24"/>
  <c r="G28" i="24"/>
  <c r="F28" i="24"/>
  <c r="I27" i="24"/>
  <c r="H27" i="24"/>
  <c r="G27" i="24"/>
  <c r="F27" i="24"/>
  <c r="I26" i="24"/>
  <c r="H26" i="24"/>
  <c r="G26" i="24"/>
  <c r="F26" i="24"/>
  <c r="I25" i="24"/>
  <c r="H25" i="24"/>
  <c r="G25" i="24"/>
  <c r="F25" i="24"/>
  <c r="I24" i="24"/>
  <c r="H24" i="24"/>
  <c r="G24" i="24"/>
  <c r="F24" i="24"/>
  <c r="I23" i="24"/>
  <c r="H23" i="24"/>
  <c r="G23" i="24"/>
  <c r="F23" i="24"/>
  <c r="I22" i="24"/>
  <c r="H22" i="24"/>
  <c r="G22" i="24"/>
  <c r="F22" i="24"/>
  <c r="I21" i="24"/>
  <c r="H21" i="24"/>
  <c r="G21" i="24"/>
  <c r="F21" i="24"/>
  <c r="I20" i="24"/>
  <c r="H20" i="24"/>
  <c r="G20" i="24"/>
  <c r="F20" i="24"/>
  <c r="I19" i="24"/>
  <c r="H19" i="24"/>
  <c r="I18" i="24"/>
  <c r="H18" i="24"/>
  <c r="G18" i="24"/>
  <c r="F18" i="24"/>
  <c r="I17" i="24"/>
  <c r="H17" i="24"/>
  <c r="G17" i="24"/>
  <c r="F17" i="24"/>
  <c r="I16" i="24"/>
  <c r="H16" i="24"/>
  <c r="G16" i="24"/>
  <c r="F16" i="24"/>
  <c r="I15" i="24"/>
  <c r="H15" i="24"/>
  <c r="G15" i="24"/>
  <c r="F15" i="24"/>
  <c r="I14" i="24"/>
  <c r="H14" i="24"/>
  <c r="G14" i="24"/>
  <c r="F14" i="24"/>
  <c r="I13" i="24"/>
  <c r="H13" i="24"/>
  <c r="G13" i="24"/>
  <c r="F13" i="24"/>
  <c r="I12" i="24"/>
  <c r="H12" i="24"/>
  <c r="G12" i="24"/>
  <c r="F12" i="24"/>
  <c r="G11" i="24"/>
  <c r="F11" i="24"/>
  <c r="I10" i="24"/>
  <c r="H10" i="24"/>
  <c r="G10" i="24"/>
  <c r="I9" i="24"/>
  <c r="G9" i="24"/>
  <c r="F9" i="24"/>
  <c r="I8" i="24"/>
  <c r="H8" i="24"/>
  <c r="G8" i="24"/>
  <c r="F8" i="24"/>
  <c r="I7" i="24"/>
  <c r="H7" i="24"/>
  <c r="G7" i="24"/>
  <c r="F7" i="24"/>
  <c r="I6" i="24"/>
  <c r="H6" i="24"/>
  <c r="F6" i="24"/>
  <c r="I5" i="24"/>
  <c r="H5" i="24"/>
  <c r="G5" i="24"/>
  <c r="H7" i="23" s="1"/>
  <c r="I7" i="23"/>
  <c r="I12" i="23" s="1"/>
  <c r="H9" i="23"/>
  <c r="M15" i="23"/>
  <c r="N10" i="2"/>
  <c r="AC10" i="2" s="1"/>
  <c r="N11" i="2"/>
  <c r="AC11" i="2" s="1"/>
  <c r="N12" i="2"/>
  <c r="N13" i="2"/>
  <c r="AC13" i="2" s="1"/>
  <c r="N14" i="2"/>
  <c r="AC14" i="2" s="1"/>
  <c r="N15" i="2"/>
  <c r="AC15" i="2" s="1"/>
  <c r="N16" i="2"/>
  <c r="AC16" i="2" s="1"/>
  <c r="N17" i="2"/>
  <c r="AC17" i="2" s="1"/>
  <c r="N18" i="2"/>
  <c r="AC18" i="2" s="1"/>
  <c r="M10" i="2"/>
  <c r="M11" i="2"/>
  <c r="M12" i="2"/>
  <c r="M13" i="2"/>
  <c r="Z13" i="2" s="1"/>
  <c r="M14" i="2"/>
  <c r="Z14" i="2" s="1"/>
  <c r="M15" i="2"/>
  <c r="M16" i="2"/>
  <c r="M17" i="2"/>
  <c r="N35" i="2"/>
  <c r="AC35" i="2" s="1"/>
  <c r="N36" i="2"/>
  <c r="AC36" i="2" s="1"/>
  <c r="N37" i="2"/>
  <c r="AC37" i="2" s="1"/>
  <c r="N38" i="2"/>
  <c r="AC38" i="2" s="1"/>
  <c r="N39" i="2"/>
  <c r="AC39" i="2" s="1"/>
  <c r="N40" i="2"/>
  <c r="N41" i="2"/>
  <c r="AC41" i="2" s="1"/>
  <c r="N42" i="2"/>
  <c r="AC42" i="2" s="1"/>
  <c r="N43" i="2"/>
  <c r="N44" i="2"/>
  <c r="AC44" i="2" s="1"/>
  <c r="N45" i="2"/>
  <c r="AC45" i="2" s="1"/>
  <c r="N46" i="2"/>
  <c r="AC46" i="2" s="1"/>
  <c r="N47" i="2"/>
  <c r="N48" i="2"/>
  <c r="AC48" i="2" s="1"/>
  <c r="N49" i="2"/>
  <c r="AC49" i="2" s="1"/>
  <c r="N50" i="2"/>
  <c r="N51" i="2"/>
  <c r="AC51" i="2" s="1"/>
  <c r="N52" i="2"/>
  <c r="AC52" i="2" s="1"/>
  <c r="N53" i="2"/>
  <c r="AC53" i="2" s="1"/>
  <c r="N54" i="2"/>
  <c r="AC54" i="2" s="1"/>
  <c r="N55" i="2"/>
  <c r="AC55" i="2" s="1"/>
  <c r="N56" i="2"/>
  <c r="AC56" i="2" s="1"/>
  <c r="N57" i="2"/>
  <c r="AC57" i="2" s="1"/>
  <c r="N58" i="2"/>
  <c r="AC58" i="2" s="1"/>
  <c r="N34" i="2"/>
  <c r="AC34" i="2" s="1"/>
  <c r="M37" i="2"/>
  <c r="AC50" i="2"/>
  <c r="D17" i="38"/>
  <c r="G17" i="38"/>
  <c r="D18" i="38"/>
  <c r="G18" i="38"/>
  <c r="G8" i="38"/>
  <c r="G20" i="38"/>
  <c r="G10" i="38"/>
  <c r="G2" i="38"/>
  <c r="F19" i="11"/>
  <c r="H22" i="1" s="1"/>
  <c r="B22" i="2"/>
  <c r="I65" i="2"/>
  <c r="I64" i="2"/>
  <c r="A64" i="2"/>
  <c r="C6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9" i="2"/>
  <c r="A10" i="2"/>
  <c r="A11" i="2"/>
  <c r="A12" i="2"/>
  <c r="I66" i="2"/>
  <c r="I69" i="2"/>
  <c r="H69" i="2"/>
  <c r="V37" i="2"/>
  <c r="G15" i="2" l="1"/>
  <c r="R14" i="2"/>
  <c r="C66" i="2"/>
  <c r="I15" i="23"/>
  <c r="I8" i="23"/>
  <c r="I10" i="23"/>
  <c r="J13" i="24"/>
  <c r="I13" i="23"/>
  <c r="I14" i="23" s="1"/>
  <c r="G13" i="2"/>
  <c r="C67" i="2"/>
  <c r="H8" i="23"/>
  <c r="H12" i="23"/>
  <c r="G10" i="2"/>
  <c r="G11" i="2"/>
  <c r="C69" i="2"/>
  <c r="C68" i="2"/>
  <c r="R13" i="2"/>
  <c r="V13" i="2" s="1"/>
  <c r="AK13" i="2" s="1"/>
  <c r="K26" i="1"/>
  <c r="J26" i="1"/>
  <c r="K27" i="1"/>
  <c r="J27" i="1"/>
  <c r="L14" i="11"/>
  <c r="F18" i="2" s="1"/>
  <c r="L47" i="1"/>
  <c r="H64" i="2"/>
  <c r="H65" i="2"/>
  <c r="H70" i="2"/>
  <c r="L9" i="1"/>
  <c r="L49" i="1"/>
  <c r="K9" i="2"/>
  <c r="I22" i="2" s="1"/>
  <c r="I67" i="2"/>
  <c r="L14" i="1"/>
  <c r="L45" i="1"/>
  <c r="L20" i="1"/>
  <c r="L29" i="1"/>
  <c r="L8" i="1"/>
  <c r="L25" i="1"/>
  <c r="L18" i="1"/>
  <c r="L23" i="11"/>
  <c r="F42" i="2" s="1"/>
  <c r="L28" i="1"/>
  <c r="L13" i="1"/>
  <c r="L10" i="1"/>
  <c r="L12" i="1"/>
  <c r="R28" i="11"/>
  <c r="K47" i="2" s="1"/>
  <c r="L24" i="1"/>
  <c r="L48" i="1"/>
  <c r="L21" i="1"/>
  <c r="L22" i="1"/>
  <c r="L27" i="1"/>
  <c r="L19" i="1"/>
  <c r="L15" i="1"/>
  <c r="L26" i="1"/>
  <c r="L23" i="1"/>
  <c r="L31" i="1"/>
  <c r="L46" i="1"/>
  <c r="H13" i="23"/>
  <c r="H11" i="23" s="1"/>
  <c r="H10" i="23"/>
  <c r="H15" i="23"/>
  <c r="AA18" i="2"/>
  <c r="AD18" i="2" s="1"/>
  <c r="Q30" i="11"/>
  <c r="J49" i="2" s="1"/>
  <c r="S37" i="2"/>
  <c r="W37" i="2" s="1"/>
  <c r="M38" i="1"/>
  <c r="L10" i="11"/>
  <c r="R24" i="11"/>
  <c r="K43" i="2" s="1"/>
  <c r="AA14" i="2"/>
  <c r="AD14" i="2" s="1"/>
  <c r="V14" i="2"/>
  <c r="AK14" i="2" s="1"/>
  <c r="I11" i="23" l="1"/>
  <c r="E68" i="2"/>
  <c r="F68" i="2" s="1"/>
  <c r="AA13" i="2"/>
  <c r="AD13" i="2" s="1"/>
  <c r="L44" i="1"/>
  <c r="L30" i="1"/>
  <c r="L17" i="1"/>
  <c r="H67" i="2"/>
  <c r="L11" i="1"/>
  <c r="H66" i="2"/>
  <c r="L16" i="1"/>
  <c r="G35" i="11"/>
  <c r="F11" i="23"/>
  <c r="G11" i="23" s="1"/>
  <c r="F14" i="2"/>
  <c r="H10" i="2" s="1"/>
  <c r="I10" i="2" s="1"/>
  <c r="M26" i="1"/>
  <c r="M27" i="1"/>
  <c r="H68" i="2"/>
  <c r="H14" i="23"/>
  <c r="I26" i="1"/>
  <c r="I27" i="1"/>
  <c r="C15" i="1"/>
  <c r="M3" i="1"/>
  <c r="J12" i="23"/>
  <c r="C23" i="2"/>
  <c r="H35" i="2"/>
  <c r="I35" i="2" s="1"/>
  <c r="H49" i="2"/>
  <c r="I49" i="2" s="1"/>
  <c r="C70" i="2"/>
  <c r="E70" i="2" s="1"/>
  <c r="F70" i="2" s="1"/>
  <c r="H34" i="2"/>
  <c r="I34" i="2" s="1"/>
  <c r="H40" i="2"/>
  <c r="I40" i="2" s="1"/>
  <c r="H46" i="2"/>
  <c r="I46" i="2" s="1"/>
  <c r="H50" i="2"/>
  <c r="I50" i="2" s="1"/>
  <c r="H54" i="2"/>
  <c r="I54" i="2" s="1"/>
  <c r="H58" i="2"/>
  <c r="I58" i="2" s="1"/>
  <c r="H42" i="2"/>
  <c r="I42" i="2" s="1"/>
  <c r="H38" i="2"/>
  <c r="I38" i="2" s="1"/>
  <c r="H39" i="2"/>
  <c r="I39" i="2" s="1"/>
  <c r="H45" i="2"/>
  <c r="I45" i="2" s="1"/>
  <c r="H52" i="2"/>
  <c r="I52" i="2" s="1"/>
  <c r="H56" i="2"/>
  <c r="I56" i="2" s="1"/>
  <c r="H44" i="2"/>
  <c r="I44" i="2" s="1"/>
  <c r="H51" i="2"/>
  <c r="I51" i="2" s="1"/>
  <c r="E66" i="2"/>
  <c r="F66" i="2" s="1"/>
  <c r="H53" i="2"/>
  <c r="I53" i="2" s="1"/>
  <c r="H41" i="2"/>
  <c r="I41" i="2" s="1"/>
  <c r="E65" i="2"/>
  <c r="F65" i="2" s="1"/>
  <c r="L37" i="2" s="1"/>
  <c r="H36" i="2"/>
  <c r="I36" i="2" s="1"/>
  <c r="H47" i="2"/>
  <c r="I47" i="2" s="1"/>
  <c r="H55" i="2"/>
  <c r="I55" i="2" s="1"/>
  <c r="H37" i="2"/>
  <c r="I37" i="2" s="1"/>
  <c r="H43" i="2"/>
  <c r="I43" i="2" s="1"/>
  <c r="H48" i="2"/>
  <c r="I48" i="2" s="1"/>
  <c r="H57" i="2"/>
  <c r="I57" i="2" s="1"/>
  <c r="E64" i="2"/>
  <c r="F64" i="2" s="1"/>
  <c r="L34" i="2" s="1"/>
  <c r="E67" i="2"/>
  <c r="F67" i="2" s="1"/>
  <c r="L43" i="2"/>
  <c r="L45" i="2"/>
  <c r="L47" i="2"/>
  <c r="L49" i="2"/>
  <c r="L51" i="2"/>
  <c r="L53" i="2"/>
  <c r="L44" i="2"/>
  <c r="L46" i="2"/>
  <c r="L48" i="2"/>
  <c r="L50" i="2"/>
  <c r="L52" i="2"/>
  <c r="L54" i="2"/>
  <c r="E69" i="2"/>
  <c r="F69" i="2" s="1"/>
  <c r="R6" i="23" l="1"/>
  <c r="Q6" i="23" s="1"/>
  <c r="M57" i="1"/>
  <c r="H12" i="2"/>
  <c r="I12" i="2" s="1"/>
  <c r="C22" i="2"/>
  <c r="H11" i="2"/>
  <c r="I11" i="2" s="1"/>
  <c r="H17" i="2"/>
  <c r="I17" i="2" s="1"/>
  <c r="C24" i="2"/>
  <c r="G14" i="2"/>
  <c r="G24" i="2" s="1"/>
  <c r="H14" i="2"/>
  <c r="I14" i="2" s="1"/>
  <c r="H15" i="2"/>
  <c r="I15" i="2" s="1"/>
  <c r="H9" i="2"/>
  <c r="I9" i="2" s="1"/>
  <c r="H18" i="2"/>
  <c r="F7" i="23"/>
  <c r="F9" i="23" s="1"/>
  <c r="G9" i="23" s="1"/>
  <c r="K7" i="23"/>
  <c r="K10" i="23" s="1"/>
  <c r="H16" i="2"/>
  <c r="I16" i="2" s="1"/>
  <c r="H13" i="2"/>
  <c r="I13" i="2" s="1"/>
  <c r="H22" i="2"/>
  <c r="K22" i="2" s="1"/>
  <c r="I17" i="23"/>
  <c r="I18" i="23" s="1"/>
  <c r="J10" i="23"/>
  <c r="H17" i="23"/>
  <c r="H18" i="23" s="1"/>
  <c r="R13" i="23"/>
  <c r="Q13" i="23" s="1"/>
  <c r="R15" i="23"/>
  <c r="Q15" i="23" s="1"/>
  <c r="R8" i="23"/>
  <c r="Q8" i="23" s="1"/>
  <c r="J7" i="23"/>
  <c r="J11" i="23"/>
  <c r="L40" i="2"/>
  <c r="L38" i="2"/>
  <c r="R14" i="23"/>
  <c r="Q14" i="23" s="1"/>
  <c r="R11" i="23"/>
  <c r="Q11" i="23" s="1"/>
  <c r="I68" i="2"/>
  <c r="K71" i="2"/>
  <c r="L56" i="2"/>
  <c r="L58" i="2"/>
  <c r="L55" i="2"/>
  <c r="L57" i="2"/>
  <c r="L41" i="2"/>
  <c r="L42" i="2"/>
  <c r="R10" i="23"/>
  <c r="Q10" i="23" s="1"/>
  <c r="R12" i="23"/>
  <c r="Q12" i="23" s="1"/>
  <c r="L35" i="2"/>
  <c r="L36" i="2"/>
  <c r="L39" i="2"/>
  <c r="R7" i="23"/>
  <c r="Q7" i="23" s="1"/>
  <c r="R9" i="23"/>
  <c r="Q9" i="23" s="1"/>
  <c r="E7" i="23"/>
  <c r="F10" i="23" l="1"/>
  <c r="G10" i="23" s="1"/>
  <c r="L10" i="23"/>
  <c r="M7" i="23"/>
  <c r="L12" i="23" s="1"/>
  <c r="L9" i="23"/>
  <c r="M9" i="23" s="1"/>
  <c r="N14" i="11"/>
  <c r="E18" i="2" s="1"/>
  <c r="M10" i="23"/>
  <c r="L13" i="23"/>
  <c r="L14" i="23" s="1"/>
  <c r="M14" i="23" s="1"/>
  <c r="E24" i="2"/>
  <c r="F13" i="23"/>
  <c r="F14" i="23" s="1"/>
  <c r="F12" i="23"/>
  <c r="G12" i="23" s="1"/>
  <c r="F8" i="23"/>
  <c r="G8" i="23" s="1"/>
  <c r="F15" i="23"/>
  <c r="G15" i="23" s="1"/>
  <c r="G7" i="23"/>
  <c r="K13" i="23"/>
  <c r="K11" i="23" s="1"/>
  <c r="K9" i="23"/>
  <c r="K8" i="23"/>
  <c r="K15" i="23"/>
  <c r="K12" i="23"/>
  <c r="J15" i="23"/>
  <c r="J13" i="23"/>
  <c r="J8" i="23"/>
  <c r="J9" i="23"/>
  <c r="E9" i="23"/>
  <c r="E13" i="23"/>
  <c r="E8" i="23"/>
  <c r="E10" i="23"/>
  <c r="E15" i="23"/>
  <c r="E12" i="23"/>
  <c r="L11" i="23" l="1"/>
  <c r="L8" i="23"/>
  <c r="M8" i="23" s="1"/>
  <c r="N8" i="23" s="1"/>
  <c r="S8" i="23" s="1"/>
  <c r="L7" i="23"/>
  <c r="N7" i="23" s="1"/>
  <c r="S7" i="23" s="1"/>
  <c r="O7" i="23"/>
  <c r="T7" i="23" s="1"/>
  <c r="M13" i="23"/>
  <c r="G13" i="23"/>
  <c r="G14" i="23" s="1"/>
  <c r="K14" i="23"/>
  <c r="G18" i="2"/>
  <c r="I18" i="2"/>
  <c r="C26" i="2" s="1"/>
  <c r="C72" i="2" s="1"/>
  <c r="E22" i="2"/>
  <c r="J14" i="23"/>
  <c r="M11" i="23"/>
  <c r="M12" i="23"/>
  <c r="N12" i="23" s="1"/>
  <c r="S12" i="23" s="1"/>
  <c r="E11" i="23"/>
  <c r="E14" i="23"/>
  <c r="N15" i="23"/>
  <c r="S15" i="23" s="1"/>
  <c r="O15" i="23"/>
  <c r="T15" i="23" s="1"/>
  <c r="N9" i="23"/>
  <c r="S9" i="23" s="1"/>
  <c r="O9" i="23"/>
  <c r="T9" i="23" s="1"/>
  <c r="N10" i="23"/>
  <c r="S10" i="23" s="1"/>
  <c r="O10" i="23"/>
  <c r="T10" i="23" s="1"/>
  <c r="O13" i="23" l="1"/>
  <c r="T13" i="23" s="1"/>
  <c r="N13" i="23"/>
  <c r="S13" i="23" s="1"/>
  <c r="O8" i="23"/>
  <c r="T8" i="23" s="1"/>
  <c r="O12" i="23"/>
  <c r="T12" i="23" s="1"/>
  <c r="G23" i="2"/>
  <c r="G19" i="2"/>
  <c r="F22" i="2"/>
  <c r="F24" i="2"/>
  <c r="N11" i="23"/>
  <c r="S11" i="23" s="1"/>
  <c r="O11" i="23"/>
  <c r="T11" i="23" s="1"/>
  <c r="O14" i="23"/>
  <c r="T14" i="23" s="1"/>
  <c r="N14" i="23"/>
  <c r="S14" i="23" s="1"/>
  <c r="E23" i="2" l="1"/>
  <c r="F23" i="2" s="1"/>
  <c r="G25" i="2"/>
  <c r="L13" i="2"/>
  <c r="L14" i="2"/>
  <c r="L12" i="2" l="1"/>
  <c r="L18" i="2"/>
  <c r="L16" i="2"/>
  <c r="L10" i="2"/>
  <c r="L15" i="2"/>
  <c r="L9" i="2"/>
  <c r="L11" i="2"/>
  <c r="L17" i="2"/>
  <c r="C27" i="2" l="1"/>
  <c r="C73" i="2" s="1"/>
  <c r="C78" i="2" s="1"/>
  <c r="C28" i="2"/>
  <c r="C29" i="2" s="1"/>
  <c r="Q11" i="2" l="1"/>
  <c r="Q15" i="2"/>
  <c r="Q9" i="2"/>
  <c r="Q12" i="2"/>
  <c r="Q16" i="2"/>
  <c r="Q13" i="2"/>
  <c r="Q17" i="2"/>
  <c r="Q10" i="2"/>
  <c r="Q14" i="2"/>
  <c r="Q18" i="2"/>
  <c r="C74" i="2"/>
  <c r="C75" i="2" s="1"/>
  <c r="Q37" i="2" l="1"/>
  <c r="U37" i="2" s="1"/>
  <c r="Q41" i="2"/>
  <c r="Q45" i="2"/>
  <c r="Q49" i="2"/>
  <c r="Q53" i="2"/>
  <c r="Q57" i="2"/>
  <c r="Q38" i="2"/>
  <c r="Q42" i="2"/>
  <c r="Q46" i="2"/>
  <c r="Q50" i="2"/>
  <c r="Q54" i="2"/>
  <c r="Q58" i="2"/>
  <c r="Q35" i="2"/>
  <c r="Q39" i="2"/>
  <c r="Q43" i="2"/>
  <c r="Q47" i="2"/>
  <c r="Q51" i="2"/>
  <c r="Q55" i="2"/>
  <c r="Q34" i="2"/>
  <c r="Q36" i="2"/>
  <c r="Q40" i="2"/>
  <c r="Q44" i="2"/>
  <c r="Q48" i="2"/>
  <c r="Q52" i="2"/>
  <c r="Q56" i="2"/>
  <c r="R9" i="2"/>
  <c r="U9" i="2"/>
  <c r="U14" i="2"/>
  <c r="AH14" i="2" s="1"/>
  <c r="S14" i="2"/>
  <c r="W14" i="2" s="1"/>
  <c r="R16" i="2"/>
  <c r="U16" i="2"/>
  <c r="U17" i="2"/>
  <c r="R17" i="2"/>
  <c r="R15" i="2"/>
  <c r="U15" i="2"/>
  <c r="U13" i="2"/>
  <c r="AH13" i="2" s="1"/>
  <c r="S13" i="2"/>
  <c r="W13" i="2" s="1"/>
  <c r="R12" i="2"/>
  <c r="U12" i="2"/>
  <c r="S18" i="2"/>
  <c r="W18" i="2" s="1"/>
  <c r="U18" i="2"/>
  <c r="AH18" i="2" s="1"/>
  <c r="U11" i="2"/>
  <c r="R11" i="2"/>
  <c r="U10" i="2"/>
  <c r="R10" i="2"/>
  <c r="AI13" i="2" l="1"/>
  <c r="AI14" i="2"/>
  <c r="U55" i="2"/>
  <c r="R55" i="2"/>
  <c r="U36" i="2"/>
  <c r="R36" i="2"/>
  <c r="R56" i="2"/>
  <c r="U56" i="2"/>
  <c r="R53" i="2"/>
  <c r="U53" i="2"/>
  <c r="R51" i="2"/>
  <c r="U51" i="2"/>
  <c r="U45" i="2"/>
  <c r="R45" i="2"/>
  <c r="V11" i="2"/>
  <c r="AK11" i="2" s="1"/>
  <c r="S11" i="2"/>
  <c r="W11" i="2" s="1"/>
  <c r="V9" i="2"/>
  <c r="U40" i="2"/>
  <c r="R40" i="2"/>
  <c r="R58" i="2"/>
  <c r="U58" i="2"/>
  <c r="U35" i="2"/>
  <c r="R35" i="2"/>
  <c r="R44" i="2"/>
  <c r="U44" i="2"/>
  <c r="U47" i="2"/>
  <c r="R47" i="2"/>
  <c r="S12" i="2"/>
  <c r="W12" i="2" s="1"/>
  <c r="V12" i="2"/>
  <c r="AK12" i="2" s="1"/>
  <c r="S15" i="2"/>
  <c r="W15" i="2" s="1"/>
  <c r="V15" i="2"/>
  <c r="V16" i="2"/>
  <c r="AK16" i="2" s="1"/>
  <c r="S16" i="2"/>
  <c r="W16" i="2" s="1"/>
  <c r="S9" i="2"/>
  <c r="R57" i="2"/>
  <c r="U57" i="2"/>
  <c r="U41" i="2"/>
  <c r="R41" i="2"/>
  <c r="U49" i="2"/>
  <c r="R49" i="2"/>
  <c r="R46" i="2"/>
  <c r="U46" i="2"/>
  <c r="U34" i="2"/>
  <c r="R34" i="2"/>
  <c r="R43" i="2"/>
  <c r="U43" i="2"/>
  <c r="V10" i="2"/>
  <c r="S10" i="2"/>
  <c r="W10" i="2" s="1"/>
  <c r="AI18" i="2"/>
  <c r="V17" i="2"/>
  <c r="S17" i="2"/>
  <c r="W17" i="2" s="1"/>
  <c r="U39" i="2"/>
  <c r="R39" i="2"/>
  <c r="R38" i="2"/>
  <c r="U38" i="2"/>
  <c r="U42" i="2"/>
  <c r="R42" i="2"/>
  <c r="U48" i="2"/>
  <c r="R48" i="2"/>
  <c r="U50" i="2"/>
  <c r="R50" i="2"/>
  <c r="R54" i="2"/>
  <c r="U54" i="2"/>
  <c r="R52" i="2"/>
  <c r="U52" i="2"/>
  <c r="S54" i="2" l="1"/>
  <c r="W54" i="2" s="1"/>
  <c r="V54" i="2"/>
  <c r="AK54" i="2" s="1"/>
  <c r="S38" i="2"/>
  <c r="W38" i="2" s="1"/>
  <c r="V38" i="2"/>
  <c r="S43" i="2"/>
  <c r="W43" i="2" s="1"/>
  <c r="V43" i="2"/>
  <c r="AK43" i="2" s="1"/>
  <c r="S46" i="2"/>
  <c r="W46" i="2" s="1"/>
  <c r="V46" i="2"/>
  <c r="AK46" i="2" s="1"/>
  <c r="S19" i="2"/>
  <c r="S35" i="2"/>
  <c r="W35" i="2" s="1"/>
  <c r="V35" i="2"/>
  <c r="S40" i="2"/>
  <c r="W40" i="2" s="1"/>
  <c r="V40" i="2"/>
  <c r="S55" i="2"/>
  <c r="W55" i="2" s="1"/>
  <c r="V55" i="2"/>
  <c r="S50" i="2"/>
  <c r="W50" i="2" s="1"/>
  <c r="V50" i="2"/>
  <c r="AK50" i="2" s="1"/>
  <c r="S42" i="2"/>
  <c r="W42" i="2" s="1"/>
  <c r="V42" i="2"/>
  <c r="S39" i="2"/>
  <c r="W39" i="2" s="1"/>
  <c r="V39" i="2"/>
  <c r="S34" i="2"/>
  <c r="V34" i="2"/>
  <c r="S49" i="2"/>
  <c r="W49" i="2" s="1"/>
  <c r="V49" i="2"/>
  <c r="AK49" i="2" s="1"/>
  <c r="S51" i="2"/>
  <c r="W51" i="2" s="1"/>
  <c r="V51" i="2"/>
  <c r="AK51" i="2" s="1"/>
  <c r="S56" i="2"/>
  <c r="W56" i="2" s="1"/>
  <c r="V56" i="2"/>
  <c r="S52" i="2"/>
  <c r="W52" i="2" s="1"/>
  <c r="V52" i="2"/>
  <c r="AK52" i="2" s="1"/>
  <c r="S57" i="2"/>
  <c r="W57" i="2" s="1"/>
  <c r="V57" i="2"/>
  <c r="S44" i="2"/>
  <c r="W44" i="2" s="1"/>
  <c r="V44" i="2"/>
  <c r="AK44" i="2" s="1"/>
  <c r="S45" i="2"/>
  <c r="W45" i="2" s="1"/>
  <c r="V45" i="2"/>
  <c r="AK45" i="2" s="1"/>
  <c r="S36" i="2"/>
  <c r="W36" i="2" s="1"/>
  <c r="V36" i="2"/>
  <c r="AL13" i="2"/>
  <c r="S48" i="2"/>
  <c r="W48" i="2" s="1"/>
  <c r="V48" i="2"/>
  <c r="AK48" i="2" s="1"/>
  <c r="AL18" i="2"/>
  <c r="S41" i="2"/>
  <c r="W41" i="2" s="1"/>
  <c r="V41" i="2"/>
  <c r="S47" i="2"/>
  <c r="W47" i="2" s="1"/>
  <c r="V47" i="2"/>
  <c r="AK47" i="2" s="1"/>
  <c r="S58" i="2"/>
  <c r="W58" i="2" s="1"/>
  <c r="V58" i="2"/>
  <c r="W9" i="2"/>
  <c r="W19" i="2" s="1"/>
  <c r="S53" i="2"/>
  <c r="W53" i="2" s="1"/>
  <c r="V53" i="2"/>
  <c r="AK53" i="2" s="1"/>
  <c r="AL14" i="2"/>
  <c r="S61" i="2" l="1"/>
  <c r="W34" i="2"/>
  <c r="W61" i="2" s="1"/>
  <c r="W20" i="2"/>
  <c r="W62" i="2" l="1"/>
  <c r="U64" i="2" s="1"/>
  <c r="U65" i="2" s="1"/>
  <c r="X13" i="2" l="1"/>
  <c r="X18" i="2"/>
  <c r="X37" i="2"/>
  <c r="X14" i="2"/>
  <c r="X11" i="2"/>
  <c r="X12" i="2"/>
  <c r="X9" i="2"/>
  <c r="X17" i="2"/>
  <c r="X16" i="2"/>
  <c r="X15" i="2"/>
  <c r="X10" i="2"/>
  <c r="X46" i="2"/>
  <c r="X34" i="2"/>
  <c r="X44" i="2"/>
  <c r="X45" i="2"/>
  <c r="X36" i="2"/>
  <c r="X58" i="2"/>
  <c r="X53" i="2"/>
  <c r="X43" i="2"/>
  <c r="X40" i="2"/>
  <c r="X39" i="2"/>
  <c r="X56" i="2"/>
  <c r="X52" i="2"/>
  <c r="X57" i="2"/>
  <c r="X47" i="2"/>
  <c r="X54" i="2"/>
  <c r="X38" i="2"/>
  <c r="X35" i="2"/>
  <c r="X42" i="2"/>
  <c r="X51" i="2"/>
  <c r="X41" i="2"/>
  <c r="Y9" i="2"/>
  <c r="X55" i="2"/>
  <c r="X50" i="2"/>
  <c r="X49" i="2"/>
  <c r="X48" i="2"/>
  <c r="Z48" i="2" l="1"/>
  <c r="Y48" i="2"/>
  <c r="AC9" i="2"/>
  <c r="Y35" i="2"/>
  <c r="Z35" i="2"/>
  <c r="Y57" i="2"/>
  <c r="Z57" i="2"/>
  <c r="Z40" i="2"/>
  <c r="Y40" i="2"/>
  <c r="AC40" i="2" s="1"/>
  <c r="Z36" i="2"/>
  <c r="Y36" i="2"/>
  <c r="Y46" i="2"/>
  <c r="Z46" i="2"/>
  <c r="Y17" i="2"/>
  <c r="Z17" i="2"/>
  <c r="Y14" i="2"/>
  <c r="AB14" i="2"/>
  <c r="Z49" i="2"/>
  <c r="Y49" i="2"/>
  <c r="Y41" i="2"/>
  <c r="Z41" i="2"/>
  <c r="Y38" i="2"/>
  <c r="Z38" i="2"/>
  <c r="Z52" i="2"/>
  <c r="Y52" i="2"/>
  <c r="Z43" i="2"/>
  <c r="Y43" i="2"/>
  <c r="X59" i="2"/>
  <c r="Y45" i="2"/>
  <c r="Z45" i="2"/>
  <c r="Y10" i="2"/>
  <c r="Z10" i="2"/>
  <c r="X19" i="2"/>
  <c r="Z9" i="2"/>
  <c r="Y37" i="2"/>
  <c r="Z37" i="2"/>
  <c r="Z50" i="2"/>
  <c r="Y50" i="2"/>
  <c r="Y51" i="2"/>
  <c r="Z51" i="2"/>
  <c r="Z54" i="2"/>
  <c r="Y54" i="2"/>
  <c r="Y56" i="2"/>
  <c r="Z56" i="2"/>
  <c r="Z53" i="2"/>
  <c r="Y53" i="2"/>
  <c r="Z44" i="2"/>
  <c r="Y44" i="2"/>
  <c r="Y15" i="2"/>
  <c r="Z15" i="2"/>
  <c r="Y12" i="2"/>
  <c r="AC12" i="2" s="1"/>
  <c r="Z12" i="2"/>
  <c r="AB18" i="2"/>
  <c r="Y18" i="2"/>
  <c r="Z55" i="2"/>
  <c r="Y55" i="2"/>
  <c r="Y60" i="2" s="1"/>
  <c r="X60" i="2"/>
  <c r="Z42" i="2"/>
  <c r="Y42" i="2"/>
  <c r="Y47" i="2"/>
  <c r="AC47" i="2" s="1"/>
  <c r="Z47" i="2"/>
  <c r="Z39" i="2"/>
  <c r="Y39" i="2"/>
  <c r="Z58" i="2"/>
  <c r="Y58" i="2"/>
  <c r="Y34" i="2"/>
  <c r="X61" i="2"/>
  <c r="Z34" i="2"/>
  <c r="Y16" i="2"/>
  <c r="Z16" i="2"/>
  <c r="Y11" i="2"/>
  <c r="Z11" i="2"/>
  <c r="AB13" i="2"/>
  <c r="Y13" i="2"/>
  <c r="Y19" i="2" l="1"/>
  <c r="Y20" i="2" s="1"/>
  <c r="Y61" i="2"/>
  <c r="Y62" i="2" s="1"/>
  <c r="AA55" i="2"/>
  <c r="AD55" i="2" s="1"/>
  <c r="AB55" i="2"/>
  <c r="AB44" i="2"/>
  <c r="AE44" i="2" s="1"/>
  <c r="AA44" i="2"/>
  <c r="AD44" i="2" s="1"/>
  <c r="Y59" i="2"/>
  <c r="AC43" i="2"/>
  <c r="AB38" i="2"/>
  <c r="AE38" i="2" s="1"/>
  <c r="AA38" i="2"/>
  <c r="AD38" i="2" s="1"/>
  <c r="AB17" i="2"/>
  <c r="AE17" i="2" s="1"/>
  <c r="AA17" i="2"/>
  <c r="AA57" i="2"/>
  <c r="AD57" i="2" s="1"/>
  <c r="AB57" i="2"/>
  <c r="AE57" i="2" s="1"/>
  <c r="AA39" i="2"/>
  <c r="AD39" i="2" s="1"/>
  <c r="AB39" i="2"/>
  <c r="AE39" i="2" s="1"/>
  <c r="AA42" i="2"/>
  <c r="AD42" i="2" s="1"/>
  <c r="AB42" i="2"/>
  <c r="AE42" i="2" s="1"/>
  <c r="AA15" i="2"/>
  <c r="AB15" i="2"/>
  <c r="AE15" i="2" s="1"/>
  <c r="AB9" i="2"/>
  <c r="AA9" i="2"/>
  <c r="AB45" i="2"/>
  <c r="AE45" i="2" s="1"/>
  <c r="AA45" i="2"/>
  <c r="AD45" i="2" s="1"/>
  <c r="AB43" i="2"/>
  <c r="AA43" i="2"/>
  <c r="AD43" i="2" s="1"/>
  <c r="AB49" i="2"/>
  <c r="AE49" i="2" s="1"/>
  <c r="AA49" i="2"/>
  <c r="AD49" i="2" s="1"/>
  <c r="AB36" i="2"/>
  <c r="AE36" i="2" s="1"/>
  <c r="AA36" i="2"/>
  <c r="AD36" i="2" s="1"/>
  <c r="AE9" i="2"/>
  <c r="AD9" i="2"/>
  <c r="AE13" i="2"/>
  <c r="AB54" i="2"/>
  <c r="AE54" i="2" s="1"/>
  <c r="AA54" i="2"/>
  <c r="AD54" i="2" s="1"/>
  <c r="AB41" i="2"/>
  <c r="AE41" i="2" s="1"/>
  <c r="AA41" i="2"/>
  <c r="AD41" i="2" s="1"/>
  <c r="AE14" i="2"/>
  <c r="AB46" i="2"/>
  <c r="AE46" i="2" s="1"/>
  <c r="AA46" i="2"/>
  <c r="AD46" i="2" s="1"/>
  <c r="AB35" i="2"/>
  <c r="AE35" i="2" s="1"/>
  <c r="AA35" i="2"/>
  <c r="AD35" i="2" s="1"/>
  <c r="AA16" i="2"/>
  <c r="AB16" i="2"/>
  <c r="AE16" i="2" s="1"/>
  <c r="AB47" i="2"/>
  <c r="AE47" i="2" s="1"/>
  <c r="AA47" i="2"/>
  <c r="AD47" i="2" s="1"/>
  <c r="AE18" i="2"/>
  <c r="AA53" i="2"/>
  <c r="AD53" i="2" s="1"/>
  <c r="AB53" i="2"/>
  <c r="AE53" i="2" s="1"/>
  <c r="AB50" i="2"/>
  <c r="AE50" i="2" s="1"/>
  <c r="AA50" i="2"/>
  <c r="AD50" i="2" s="1"/>
  <c r="AA11" i="2"/>
  <c r="AB11" i="2"/>
  <c r="AE11" i="2" s="1"/>
  <c r="AB34" i="2"/>
  <c r="AA34" i="2"/>
  <c r="AD34" i="2" s="1"/>
  <c r="AB58" i="2"/>
  <c r="AE58" i="2" s="1"/>
  <c r="AA58" i="2"/>
  <c r="AD58" i="2" s="1"/>
  <c r="AA12" i="2"/>
  <c r="AB12" i="2"/>
  <c r="AE12" i="2" s="1"/>
  <c r="AA56" i="2"/>
  <c r="AD56" i="2" s="1"/>
  <c r="AB56" i="2"/>
  <c r="AE56" i="2" s="1"/>
  <c r="AB51" i="2"/>
  <c r="AE51" i="2" s="1"/>
  <c r="AA51" i="2"/>
  <c r="AD51" i="2" s="1"/>
  <c r="AA37" i="2"/>
  <c r="AD37" i="2" s="1"/>
  <c r="AB37" i="2"/>
  <c r="AA10" i="2"/>
  <c r="AB10" i="2"/>
  <c r="AE10" i="2" s="1"/>
  <c r="AB52" i="2"/>
  <c r="AE52" i="2" s="1"/>
  <c r="AA52" i="2"/>
  <c r="AD52" i="2" s="1"/>
  <c r="AB40" i="2"/>
  <c r="AE40" i="2" s="1"/>
  <c r="AA40" i="2"/>
  <c r="AD40" i="2" s="1"/>
  <c r="AA48" i="2"/>
  <c r="AD48" i="2" s="1"/>
  <c r="AB48" i="2"/>
  <c r="AE48" i="2" s="1"/>
  <c r="W64" i="2" l="1"/>
  <c r="X64" i="2" s="1"/>
  <c r="AF37" i="2"/>
  <c r="AE37" i="2"/>
  <c r="AB59" i="2"/>
  <c r="AE43" i="2"/>
  <c r="AE59" i="2" s="1"/>
  <c r="AB19" i="2"/>
  <c r="AD11" i="2"/>
  <c r="AD15" i="2"/>
  <c r="AD17" i="2"/>
  <c r="AB60" i="2"/>
  <c r="AE55" i="2"/>
  <c r="AE60" i="2" s="1"/>
  <c r="AE19" i="2"/>
  <c r="AD10" i="2"/>
  <c r="AD12" i="2"/>
  <c r="AB61" i="2"/>
  <c r="AE34" i="2"/>
  <c r="AD16" i="2"/>
  <c r="AB20" i="2" l="1"/>
  <c r="AE61" i="2"/>
  <c r="AB62" i="2" s="1"/>
  <c r="AG37" i="2"/>
  <c r="AK37" i="2" s="1"/>
  <c r="AH37" i="2"/>
  <c r="AD64" i="2" l="1"/>
  <c r="AD65" i="2" s="1"/>
  <c r="AF13" i="2" s="1"/>
  <c r="AJ13" i="2" s="1"/>
  <c r="AJ37" i="2"/>
  <c r="AM37" i="2" s="1"/>
  <c r="AI37" i="2"/>
  <c r="AL37" i="2" s="1"/>
  <c r="AF35" i="2" l="1"/>
  <c r="AH35" i="2" s="1"/>
  <c r="AF41" i="2"/>
  <c r="AG41" i="2" s="1"/>
  <c r="AK41" i="2" s="1"/>
  <c r="AF36" i="2"/>
  <c r="AG36" i="2" s="1"/>
  <c r="AK36" i="2" s="1"/>
  <c r="AF42" i="2"/>
  <c r="AG42" i="2" s="1"/>
  <c r="AK42" i="2" s="1"/>
  <c r="AG9" i="2"/>
  <c r="AK9" i="2" s="1"/>
  <c r="AL9" i="2" s="1"/>
  <c r="AF17" i="2"/>
  <c r="AG17" i="2" s="1"/>
  <c r="AK17" i="2" s="1"/>
  <c r="AF39" i="2"/>
  <c r="AG39" i="2" s="1"/>
  <c r="AK39" i="2" s="1"/>
  <c r="AF15" i="2"/>
  <c r="AH15" i="2" s="1"/>
  <c r="AI15" i="2" s="1"/>
  <c r="AF10" i="2"/>
  <c r="AG10" i="2" s="1"/>
  <c r="AK10" i="2" s="1"/>
  <c r="AG13" i="2"/>
  <c r="AF40" i="2"/>
  <c r="AH40" i="2" s="1"/>
  <c r="AI40" i="2" s="1"/>
  <c r="AL40" i="2" s="1"/>
  <c r="AF18" i="2"/>
  <c r="AG18" i="2" s="1"/>
  <c r="AF55" i="2"/>
  <c r="AH55" i="2" s="1"/>
  <c r="AJ55" i="2" s="1"/>
  <c r="AF51" i="2"/>
  <c r="AG51" i="2" s="1"/>
  <c r="AF58" i="2"/>
  <c r="AG58" i="2" s="1"/>
  <c r="AK58" i="2" s="1"/>
  <c r="AF46" i="2"/>
  <c r="AH46" i="2" s="1"/>
  <c r="AI46" i="2" s="1"/>
  <c r="AL46" i="2" s="1"/>
  <c r="AF9" i="2"/>
  <c r="AH9" i="2" s="1"/>
  <c r="AJ9" i="2" s="1"/>
  <c r="AF57" i="2"/>
  <c r="AH57" i="2" s="1"/>
  <c r="AI57" i="2" s="1"/>
  <c r="AL57" i="2" s="1"/>
  <c r="AF44" i="2"/>
  <c r="AG44" i="2" s="1"/>
  <c r="AF52" i="2"/>
  <c r="AF49" i="2"/>
  <c r="AG49" i="2" s="1"/>
  <c r="AF47" i="2"/>
  <c r="AH47" i="2" s="1"/>
  <c r="AI47" i="2" s="1"/>
  <c r="AL47" i="2" s="1"/>
  <c r="AF34" i="2"/>
  <c r="AG34" i="2" s="1"/>
  <c r="AK34" i="2" s="1"/>
  <c r="AF53" i="2"/>
  <c r="AG53" i="2" s="1"/>
  <c r="AF12" i="2"/>
  <c r="AG12" i="2" s="1"/>
  <c r="AF43" i="2"/>
  <c r="AG43" i="2" s="1"/>
  <c r="AG59" i="2" s="1"/>
  <c r="AF14" i="2"/>
  <c r="AG14" i="2" s="1"/>
  <c r="AF45" i="2"/>
  <c r="AG45" i="2" s="1"/>
  <c r="AF38" i="2"/>
  <c r="AG38" i="2" s="1"/>
  <c r="AK38" i="2" s="1"/>
  <c r="AF56" i="2"/>
  <c r="AH56" i="2" s="1"/>
  <c r="AJ56" i="2" s="1"/>
  <c r="AM56" i="2" s="1"/>
  <c r="AF11" i="2"/>
  <c r="AG11" i="2" s="1"/>
  <c r="AF48" i="2"/>
  <c r="AG48" i="2" s="1"/>
  <c r="AF50" i="2"/>
  <c r="AH50" i="2" s="1"/>
  <c r="AI50" i="2" s="1"/>
  <c r="AL50" i="2" s="1"/>
  <c r="AF16" i="2"/>
  <c r="AH16" i="2" s="1"/>
  <c r="AI16" i="2" s="1"/>
  <c r="AF54" i="2"/>
  <c r="AH54" i="2" s="1"/>
  <c r="AI54" i="2" s="1"/>
  <c r="AL54" i="2" s="1"/>
  <c r="AG35" i="2"/>
  <c r="AK35" i="2" s="1"/>
  <c r="AM9" i="2"/>
  <c r="AM13" i="2"/>
  <c r="AJ35" i="2"/>
  <c r="AM35" i="2" s="1"/>
  <c r="AI35" i="2"/>
  <c r="AL35" i="2" s="1"/>
  <c r="AJ57" i="2" l="1"/>
  <c r="AM57" i="2" s="1"/>
  <c r="AH10" i="2"/>
  <c r="AJ10" i="2" s="1"/>
  <c r="AM10" i="2" s="1"/>
  <c r="AG47" i="2"/>
  <c r="AH41" i="2"/>
  <c r="AJ41" i="2" s="1"/>
  <c r="AM41" i="2" s="1"/>
  <c r="AJ47" i="2"/>
  <c r="AM47" i="2" s="1"/>
  <c r="AH36" i="2"/>
  <c r="AI36" i="2" s="1"/>
  <c r="AL36" i="2" s="1"/>
  <c r="AH44" i="2"/>
  <c r="AJ44" i="2" s="1"/>
  <c r="AM44" i="2" s="1"/>
  <c r="AH11" i="2"/>
  <c r="AJ11" i="2" s="1"/>
  <c r="AM11" i="2" s="1"/>
  <c r="AI56" i="2"/>
  <c r="AL56" i="2" s="1"/>
  <c r="AH34" i="2"/>
  <c r="AJ34" i="2" s="1"/>
  <c r="AM34" i="2" s="1"/>
  <c r="AJ54" i="2"/>
  <c r="AM54" i="2" s="1"/>
  <c r="AH39" i="2"/>
  <c r="AJ39" i="2" s="1"/>
  <c r="AM39" i="2" s="1"/>
  <c r="AH42" i="2"/>
  <c r="AJ42" i="2" s="1"/>
  <c r="AM42" i="2" s="1"/>
  <c r="AJ40" i="2"/>
  <c r="AM40" i="2" s="1"/>
  <c r="AG54" i="2"/>
  <c r="AG40" i="2"/>
  <c r="AK40" i="2" s="1"/>
  <c r="AH58" i="2"/>
  <c r="AI58" i="2" s="1"/>
  <c r="AL58" i="2" s="1"/>
  <c r="AG57" i="2"/>
  <c r="AK57" i="2" s="1"/>
  <c r="AJ14" i="2"/>
  <c r="AM14" i="2" s="1"/>
  <c r="AH17" i="2"/>
  <c r="AJ17" i="2" s="1"/>
  <c r="AM17" i="2" s="1"/>
  <c r="AJ15" i="2"/>
  <c r="AM15" i="2" s="1"/>
  <c r="AJ16" i="2"/>
  <c r="AM16" i="2" s="1"/>
  <c r="AH43" i="2"/>
  <c r="AI43" i="2" s="1"/>
  <c r="AL43" i="2" s="1"/>
  <c r="AG56" i="2"/>
  <c r="AK56" i="2" s="1"/>
  <c r="AG15" i="2"/>
  <c r="AK15" i="2" s="1"/>
  <c r="AF59" i="2"/>
  <c r="AJ46" i="2"/>
  <c r="AM46" i="2" s="1"/>
  <c r="AG16" i="2"/>
  <c r="AI55" i="2"/>
  <c r="AL55" i="2" s="1"/>
  <c r="AH49" i="2"/>
  <c r="AI49" i="2" s="1"/>
  <c r="AL49" i="2" s="1"/>
  <c r="AH38" i="2"/>
  <c r="AJ38" i="2" s="1"/>
  <c r="AM38" i="2" s="1"/>
  <c r="AG50" i="2"/>
  <c r="AF60" i="2"/>
  <c r="AJ50" i="2"/>
  <c r="AM50" i="2" s="1"/>
  <c r="AG55" i="2"/>
  <c r="AJ18" i="2"/>
  <c r="AM18" i="2" s="1"/>
  <c r="AH51" i="2"/>
  <c r="AI51" i="2" s="1"/>
  <c r="AL51" i="2" s="1"/>
  <c r="AH48" i="2"/>
  <c r="AJ48" i="2" s="1"/>
  <c r="AM48" i="2" s="1"/>
  <c r="AH53" i="2"/>
  <c r="AJ53" i="2" s="1"/>
  <c r="AM53" i="2" s="1"/>
  <c r="AI9" i="2"/>
  <c r="AF19" i="2"/>
  <c r="AF61" i="2"/>
  <c r="AG46" i="2"/>
  <c r="AH45" i="2"/>
  <c r="AJ45" i="2" s="1"/>
  <c r="AM45" i="2" s="1"/>
  <c r="AG52" i="2"/>
  <c r="AH52" i="2"/>
  <c r="AH12" i="2"/>
  <c r="AI12" i="2" s="1"/>
  <c r="AL12" i="2" s="1"/>
  <c r="AI41" i="2"/>
  <c r="AL41" i="2" s="1"/>
  <c r="AI10" i="2"/>
  <c r="AL10" i="2" s="1"/>
  <c r="AL15" i="2"/>
  <c r="AJ60" i="2"/>
  <c r="AM55" i="2"/>
  <c r="AM60" i="2" s="1"/>
  <c r="AL16" i="2"/>
  <c r="AJ36" i="2" l="1"/>
  <c r="AM36" i="2" s="1"/>
  <c r="AG60" i="2"/>
  <c r="AK55" i="2"/>
  <c r="AI11" i="2"/>
  <c r="AL11" i="2" s="1"/>
  <c r="AI44" i="2"/>
  <c r="AL44" i="2" s="1"/>
  <c r="AI34" i="2"/>
  <c r="AL34" i="2" s="1"/>
  <c r="AI42" i="2"/>
  <c r="AL42" i="2" s="1"/>
  <c r="AI39" i="2"/>
  <c r="AL39" i="2" s="1"/>
  <c r="AJ49" i="2"/>
  <c r="AM49" i="2" s="1"/>
  <c r="AJ43" i="2"/>
  <c r="AM43" i="2" s="1"/>
  <c r="AM59" i="2" s="1"/>
  <c r="AJ58" i="2"/>
  <c r="AM58" i="2" s="1"/>
  <c r="AI17" i="2"/>
  <c r="AL17" i="2" s="1"/>
  <c r="AG19" i="2"/>
  <c r="AG20" i="2" s="1"/>
  <c r="AG61" i="2"/>
  <c r="AG62" i="2" s="1"/>
  <c r="AI38" i="2"/>
  <c r="AL38" i="2" s="1"/>
  <c r="AI48" i="2"/>
  <c r="AL48" i="2" s="1"/>
  <c r="AI53" i="2"/>
  <c r="AL53" i="2" s="1"/>
  <c r="AJ51" i="2"/>
  <c r="AM51" i="2" s="1"/>
  <c r="AI45" i="2"/>
  <c r="AL45" i="2" s="1"/>
  <c r="AJ12" i="2"/>
  <c r="AM12" i="2" s="1"/>
  <c r="AM19" i="2" s="1"/>
  <c r="AI52" i="2"/>
  <c r="AL52" i="2" s="1"/>
  <c r="AJ52" i="2"/>
  <c r="AM52" i="2" s="1"/>
  <c r="AJ59" i="2" l="1"/>
  <c r="AF64" i="2"/>
  <c r="AG64" i="2" s="1"/>
  <c r="AM61" i="2"/>
  <c r="AJ61" i="2"/>
  <c r="AJ19" i="2"/>
  <c r="AJ20" i="2" s="1"/>
  <c r="AJ62" i="2" l="1"/>
  <c r="AL64" i="2" s="1"/>
  <c r="AL65" i="2" s="1"/>
  <c r="AN37" i="2" s="1"/>
  <c r="G16" i="1" l="1"/>
  <c r="I16" i="1" s="1"/>
  <c r="AO9" i="2"/>
  <c r="AN10" i="2"/>
  <c r="AN15" i="2"/>
  <c r="AN17" i="2"/>
  <c r="AN44" i="2"/>
  <c r="AQ44" i="2" s="1"/>
  <c r="AN49" i="2"/>
  <c r="AO49" i="2" s="1"/>
  <c r="AR49" i="2" s="1"/>
  <c r="AN35" i="2"/>
  <c r="AN52" i="2"/>
  <c r="AO52" i="2" s="1"/>
  <c r="AR52" i="2" s="1"/>
  <c r="AN43" i="2"/>
  <c r="AQ43" i="2" s="1"/>
  <c r="AN9" i="2"/>
  <c r="G45" i="1" s="1"/>
  <c r="I45" i="1" s="1"/>
  <c r="AN58" i="2"/>
  <c r="AQ58" i="2" s="1"/>
  <c r="AN38" i="2"/>
  <c r="AN34" i="2"/>
  <c r="AN14" i="2"/>
  <c r="AQ14" i="2" s="1"/>
  <c r="AN54" i="2"/>
  <c r="AQ54" i="2" s="1"/>
  <c r="AN13" i="2"/>
  <c r="AN51" i="2"/>
  <c r="AO51" i="2" s="1"/>
  <c r="AR51" i="2" s="1"/>
  <c r="AN36" i="2"/>
  <c r="AQ37" i="2"/>
  <c r="AN40" i="2"/>
  <c r="AN11" i="2"/>
  <c r="AN46" i="2"/>
  <c r="AQ46" i="2" s="1"/>
  <c r="AN45" i="2"/>
  <c r="AQ45" i="2" s="1"/>
  <c r="AN18" i="2"/>
  <c r="AN47" i="2"/>
  <c r="AN39" i="2"/>
  <c r="G18" i="1" s="1"/>
  <c r="AO37" i="2"/>
  <c r="AR37" i="2" s="1"/>
  <c r="AN42" i="2"/>
  <c r="AN53" i="2"/>
  <c r="AQ53" i="2" s="1"/>
  <c r="AN48" i="2"/>
  <c r="AQ48" i="2" s="1"/>
  <c r="AN12" i="2"/>
  <c r="AN16" i="2"/>
  <c r="AN56" i="2"/>
  <c r="AQ56" i="2" s="1"/>
  <c r="AN41" i="2"/>
  <c r="AN55" i="2"/>
  <c r="AQ55" i="2" s="1"/>
  <c r="AN50" i="2"/>
  <c r="AQ50" i="2" s="1"/>
  <c r="AN57" i="2"/>
  <c r="AQ57" i="2" s="1"/>
  <c r="I19" i="23"/>
  <c r="AQ49" i="2" l="1"/>
  <c r="AO57" i="2"/>
  <c r="AR57" i="2" s="1"/>
  <c r="AQ41" i="2"/>
  <c r="G31" i="1"/>
  <c r="K18" i="1"/>
  <c r="J18" i="1"/>
  <c r="AQ36" i="2"/>
  <c r="G17" i="1"/>
  <c r="I17" i="1" s="1"/>
  <c r="G29" i="1"/>
  <c r="I29" i="1" s="1"/>
  <c r="J45" i="1"/>
  <c r="K45" i="1"/>
  <c r="AQ10" i="2"/>
  <c r="G44" i="1"/>
  <c r="G8" i="1"/>
  <c r="I8" i="1" s="1"/>
  <c r="AO11" i="2"/>
  <c r="AR11" i="2" s="1"/>
  <c r="G9" i="1"/>
  <c r="I9" i="1" s="1"/>
  <c r="AQ34" i="2"/>
  <c r="G46" i="1"/>
  <c r="AR9" i="2"/>
  <c r="G49" i="1"/>
  <c r="I49" i="1" s="1"/>
  <c r="AQ16" i="2"/>
  <c r="G12" i="1"/>
  <c r="AO42" i="2"/>
  <c r="AR42" i="2" s="1"/>
  <c r="G28" i="1"/>
  <c r="AO18" i="2"/>
  <c r="AR18" i="2" s="1"/>
  <c r="G20" i="1"/>
  <c r="AQ40" i="2"/>
  <c r="G21" i="1"/>
  <c r="I21" i="1" s="1"/>
  <c r="AQ13" i="2"/>
  <c r="G30" i="1"/>
  <c r="I30" i="1" s="1"/>
  <c r="AQ38" i="2"/>
  <c r="G15" i="1"/>
  <c r="F19" i="23" s="1"/>
  <c r="AO17" i="2"/>
  <c r="AR17" i="2" s="1"/>
  <c r="G13" i="1"/>
  <c r="I13" i="1" s="1"/>
  <c r="K16" i="1"/>
  <c r="M16" i="1" s="1"/>
  <c r="J16" i="1"/>
  <c r="AO53" i="2"/>
  <c r="AR53" i="2" s="1"/>
  <c r="AQ12" i="2"/>
  <c r="G10" i="1"/>
  <c r="AQ35" i="2"/>
  <c r="G14" i="1"/>
  <c r="AO15" i="2"/>
  <c r="AR15" i="2" s="1"/>
  <c r="G11" i="1"/>
  <c r="U8" i="23" s="1"/>
  <c r="AN59" i="2"/>
  <c r="AO56" i="2"/>
  <c r="AR56" i="2" s="1"/>
  <c r="AQ11" i="2"/>
  <c r="AO10" i="2"/>
  <c r="AR10" i="2" s="1"/>
  <c r="AQ9" i="2"/>
  <c r="AQ15" i="2"/>
  <c r="AQ17" i="2"/>
  <c r="AO48" i="2"/>
  <c r="AR48" i="2" s="1"/>
  <c r="AO36" i="2"/>
  <c r="AR36" i="2" s="1"/>
  <c r="AO58" i="2"/>
  <c r="AR58" i="2" s="1"/>
  <c r="AO14" i="2"/>
  <c r="AR14" i="2" s="1"/>
  <c r="AO41" i="2"/>
  <c r="AR41" i="2" s="1"/>
  <c r="AO35" i="2"/>
  <c r="AR35" i="2" s="1"/>
  <c r="AQ39" i="2"/>
  <c r="M18" i="1" s="1"/>
  <c r="AO45" i="2"/>
  <c r="AR45" i="2" s="1"/>
  <c r="AO12" i="2"/>
  <c r="AO46" i="2"/>
  <c r="AR46" i="2" s="1"/>
  <c r="AO39" i="2"/>
  <c r="AR39" i="2" s="1"/>
  <c r="AN60" i="2"/>
  <c r="G48" i="1" s="1"/>
  <c r="AO55" i="2"/>
  <c r="AR55" i="2" s="1"/>
  <c r="AQ51" i="2"/>
  <c r="AO34" i="2"/>
  <c r="AR34" i="2" s="1"/>
  <c r="AO54" i="2"/>
  <c r="AR54" i="2" s="1"/>
  <c r="AO44" i="2"/>
  <c r="AR44" i="2" s="1"/>
  <c r="AO43" i="2"/>
  <c r="AR43" i="2" s="1"/>
  <c r="AO38" i="2"/>
  <c r="AR38" i="2" s="1"/>
  <c r="AN19" i="2"/>
  <c r="AO13" i="2"/>
  <c r="AR13" i="2" s="1"/>
  <c r="AO50" i="2"/>
  <c r="AR50" i="2" s="1"/>
  <c r="AQ42" i="2"/>
  <c r="AO40" i="2"/>
  <c r="AN61" i="2"/>
  <c r="AQ18" i="2"/>
  <c r="AQ52" i="2"/>
  <c r="AO16" i="2"/>
  <c r="AR16" i="2" s="1"/>
  <c r="AQ47" i="2"/>
  <c r="AO47" i="2"/>
  <c r="AR47" i="2" s="1"/>
  <c r="U11" i="23"/>
  <c r="I18" i="1"/>
  <c r="I44" i="1"/>
  <c r="U7" i="23"/>
  <c r="M45" i="1" l="1"/>
  <c r="U10" i="23"/>
  <c r="K10" i="1"/>
  <c r="M10" i="1" s="1"/>
  <c r="J10" i="1"/>
  <c r="J15" i="1"/>
  <c r="K15" i="1"/>
  <c r="M15" i="1" s="1"/>
  <c r="K21" i="1"/>
  <c r="M21" i="1" s="1"/>
  <c r="J21" i="1"/>
  <c r="K28" i="1"/>
  <c r="M28" i="1" s="1"/>
  <c r="J28" i="1"/>
  <c r="J49" i="1"/>
  <c r="K49" i="1"/>
  <c r="M49" i="1" s="1"/>
  <c r="U6" i="23"/>
  <c r="K9" i="1"/>
  <c r="M9" i="1" s="1"/>
  <c r="J9" i="1"/>
  <c r="AR12" i="2"/>
  <c r="G22" i="1"/>
  <c r="U14" i="23" s="1"/>
  <c r="K14" i="1"/>
  <c r="M14" i="1" s="1"/>
  <c r="J14" i="1"/>
  <c r="K17" i="1"/>
  <c r="M17" i="1" s="1"/>
  <c r="J17" i="1"/>
  <c r="K31" i="1"/>
  <c r="M31" i="1" s="1"/>
  <c r="J31" i="1"/>
  <c r="AR40" i="2"/>
  <c r="G25" i="1"/>
  <c r="K48" i="1"/>
  <c r="J48" i="1"/>
  <c r="AQ59" i="2"/>
  <c r="G19" i="1"/>
  <c r="L19" i="23" s="1"/>
  <c r="G47" i="1"/>
  <c r="I47" i="1" s="1"/>
  <c r="K13" i="1"/>
  <c r="M13" i="1" s="1"/>
  <c r="J13" i="1"/>
  <c r="K30" i="1"/>
  <c r="M30" i="1" s="1"/>
  <c r="J30" i="1"/>
  <c r="K20" i="1"/>
  <c r="M20" i="1" s="1"/>
  <c r="J20" i="1"/>
  <c r="K12" i="1"/>
  <c r="M12" i="1" s="1"/>
  <c r="J12" i="1"/>
  <c r="K46" i="1"/>
  <c r="M46" i="1" s="1"/>
  <c r="J46" i="1"/>
  <c r="J8" i="1"/>
  <c r="K8" i="1"/>
  <c r="M8" i="1" s="1"/>
  <c r="J11" i="1"/>
  <c r="K11" i="1"/>
  <c r="M11" i="1" s="1"/>
  <c r="K44" i="1"/>
  <c r="M44" i="1" s="1"/>
  <c r="J44" i="1"/>
  <c r="K29" i="1"/>
  <c r="M29" i="1" s="1"/>
  <c r="J29" i="1"/>
  <c r="I11" i="1"/>
  <c r="AQ60" i="2"/>
  <c r="AO60" i="2"/>
  <c r="AR60" i="2" s="1"/>
  <c r="U15" i="23"/>
  <c r="U13" i="23"/>
  <c r="E19" i="23"/>
  <c r="I14" i="1"/>
  <c r="I28" i="1"/>
  <c r="I10" i="1"/>
  <c r="H19" i="23"/>
  <c r="I31" i="1"/>
  <c r="I46" i="1"/>
  <c r="AO19" i="2"/>
  <c r="AO20" i="2" s="1"/>
  <c r="AO59" i="2"/>
  <c r="U12" i="23"/>
  <c r="I15" i="1"/>
  <c r="I20" i="1"/>
  <c r="U9" i="23"/>
  <c r="I12" i="1"/>
  <c r="AO61" i="2"/>
  <c r="AO62" i="2" s="1"/>
  <c r="J19" i="23"/>
  <c r="K19" i="23"/>
  <c r="I48" i="1"/>
  <c r="I19" i="1" l="1"/>
  <c r="K22" i="1"/>
  <c r="M22" i="1" s="1"/>
  <c r="U67" i="2" s="1"/>
  <c r="J22" i="1"/>
  <c r="G23" i="1"/>
  <c r="M19" i="23" s="1"/>
  <c r="G24" i="1"/>
  <c r="J47" i="1"/>
  <c r="K47" i="1"/>
  <c r="M47" i="1" s="1"/>
  <c r="M48" i="1"/>
  <c r="J19" i="1"/>
  <c r="K19" i="1"/>
  <c r="M19" i="1" s="1"/>
  <c r="K25" i="1"/>
  <c r="M25" i="1" s="1"/>
  <c r="J25" i="1"/>
  <c r="I22" i="1"/>
  <c r="I25" i="1"/>
  <c r="G19" i="23"/>
  <c r="AN64" i="2"/>
  <c r="AO64" i="2" s="1"/>
  <c r="AR59" i="2"/>
  <c r="F22" i="23"/>
  <c r="F21" i="23"/>
  <c r="K24" i="1" l="1"/>
  <c r="M24" i="1" s="1"/>
  <c r="J24" i="1"/>
  <c r="M50" i="1"/>
  <c r="K23" i="1"/>
  <c r="M23" i="1" s="1"/>
  <c r="J23" i="1"/>
  <c r="I23" i="1"/>
  <c r="I24" i="1"/>
  <c r="F24" i="23"/>
  <c r="F26" i="23" s="1"/>
  <c r="F23" i="23"/>
  <c r="C31" i="1" l="1"/>
  <c r="M52" i="1"/>
  <c r="M53" i="1"/>
  <c r="C24" i="1"/>
  <c r="U68" i="2"/>
  <c r="U69" i="2" s="1"/>
  <c r="V67" i="2" s="1"/>
  <c r="C14" i="1" s="1"/>
  <c r="M32" i="1"/>
  <c r="F25" i="23"/>
  <c r="C30" i="1" l="1"/>
  <c r="M34" i="1"/>
  <c r="M58" i="1"/>
  <c r="M59" i="1" s="1"/>
  <c r="M35" i="1" s="1"/>
  <c r="M36" i="1" s="1"/>
  <c r="V68" i="2"/>
  <c r="M54" i="1" l="1"/>
  <c r="C32" i="1"/>
  <c r="C22" i="1"/>
  <c r="F6" i="23" l="1"/>
  <c r="K6" i="23"/>
  <c r="K17" i="23" s="1"/>
  <c r="K18" i="23" s="1"/>
  <c r="G6" i="23" l="1"/>
  <c r="G17" i="23" s="1"/>
  <c r="G18" i="23" s="1"/>
  <c r="F17" i="23"/>
  <c r="F18" i="23" s="1"/>
  <c r="L6" i="23"/>
  <c r="M6" i="23" l="1"/>
  <c r="M17" i="23" s="1"/>
  <c r="M18" i="23" s="1"/>
  <c r="L17" i="23"/>
  <c r="L18" i="23" s="1"/>
  <c r="J6" i="23"/>
  <c r="J17" i="23" s="1"/>
  <c r="J18" i="23" s="1"/>
  <c r="F29" i="23" l="1"/>
  <c r="E6" i="23"/>
  <c r="N6" i="23" l="1"/>
  <c r="S6" i="23" s="1"/>
  <c r="F28" i="23" s="1"/>
  <c r="F30" i="23" s="1"/>
  <c r="L29" i="23" s="1"/>
  <c r="E17" i="23"/>
  <c r="E18" i="23" s="1"/>
  <c r="F32" i="23" s="1"/>
  <c r="O6" i="23"/>
  <c r="T6" i="23" s="1"/>
  <c r="F31" i="23" s="1"/>
  <c r="F33" i="23" l="1"/>
  <c r="L30" i="23" s="1"/>
  <c r="L31" i="23" s="1"/>
  <c r="C23" i="1" l="1"/>
  <c r="K32" i="23"/>
</calcChain>
</file>

<file path=xl/sharedStrings.xml><?xml version="1.0" encoding="utf-8"?>
<sst xmlns="http://schemas.openxmlformats.org/spreadsheetml/2006/main" count="787" uniqueCount="293">
  <si>
    <t>GCA</t>
  </si>
  <si>
    <t>VO 2017</t>
  </si>
  <si>
    <t>Referenz</t>
  </si>
  <si>
    <t>FZK Entry Baumgarten</t>
  </si>
  <si>
    <t>§3 (2) 1.</t>
  </si>
  <si>
    <t>FZK Entry Oberkappel</t>
  </si>
  <si>
    <t>§3 (2) 2.</t>
  </si>
  <si>
    <t>FZK Entry Überackern</t>
  </si>
  <si>
    <t>§3 (2) 3.</t>
  </si>
  <si>
    <t>FZK Entry Moson</t>
  </si>
  <si>
    <t>§3 (2) 5.</t>
  </si>
  <si>
    <t>FZK Entry Murfeld</t>
  </si>
  <si>
    <t>§3 (2) 6.</t>
  </si>
  <si>
    <t>FZK Entry Petrzalka</t>
  </si>
  <si>
    <t>§3 (2) 7.</t>
  </si>
  <si>
    <t>FZK Exit Baumgarten</t>
  </si>
  <si>
    <t>§3 (3) 1.</t>
  </si>
  <si>
    <t>FZK Exit Oberkappel</t>
  </si>
  <si>
    <t>§3 (3) 2.</t>
  </si>
  <si>
    <t>FZK Exit Murfeld</t>
  </si>
  <si>
    <t>§ 3(3) 4.</t>
  </si>
  <si>
    <t>FZK Exit Moson</t>
  </si>
  <si>
    <t>§ 3(3) 5.</t>
  </si>
  <si>
    <t>§ 3(3) 6.</t>
  </si>
  <si>
    <t>FZK Exit Verteilergebiet</t>
  </si>
  <si>
    <t>§ 3(3) 7.</t>
  </si>
  <si>
    <t>FZK Exit Überackern</t>
  </si>
  <si>
    <t>§ 3(3) 8.</t>
  </si>
  <si>
    <t>§3 (5) 7.</t>
  </si>
  <si>
    <t>§3 (6) 1.</t>
  </si>
  <si>
    <t>§3 (6) 2.</t>
  </si>
  <si>
    <t>§3 (6) 4.</t>
  </si>
  <si>
    <t>§3 (8) 1.</t>
  </si>
  <si>
    <t>§3 (8) 2.</t>
  </si>
  <si>
    <t>§4 (2) 1.</t>
  </si>
  <si>
    <t>§4 (2) 2.</t>
  </si>
  <si>
    <t>TAG</t>
  </si>
  <si>
    <t>FZK Entry Arnoldstein</t>
  </si>
  <si>
    <t>§3 (2) 4.</t>
  </si>
  <si>
    <t>FZK Exit Arnoldstein</t>
  </si>
  <si>
    <t>§3 (3) 3.</t>
  </si>
  <si>
    <t>§ 3(3) 8. (NEU!?)</t>
  </si>
  <si>
    <t>§ 3(5) 6.</t>
  </si>
  <si>
    <t xml:space="preserve">Tariff calculation </t>
  </si>
  <si>
    <t>DZK discount</t>
  </si>
  <si>
    <t>Conversion GCV</t>
  </si>
  <si>
    <t>Total costs MG Ost</t>
  </si>
  <si>
    <t>€</t>
  </si>
  <si>
    <t>PID</t>
  </si>
  <si>
    <t>Name</t>
  </si>
  <si>
    <t>Cluster</t>
  </si>
  <si>
    <t>Capacity share (weight)</t>
  </si>
  <si>
    <t>Capacity-weighted distance</t>
  </si>
  <si>
    <t>Reference volumes FZK</t>
  </si>
  <si>
    <t>Reference volumes DZK</t>
  </si>
  <si>
    <t>Cluster distance-ratio to P1</t>
  </si>
  <si>
    <t>Arnoldstein</t>
  </si>
  <si>
    <t>Entry</t>
  </si>
  <si>
    <t>Baumgarten</t>
  </si>
  <si>
    <t>Oberkappel</t>
  </si>
  <si>
    <t>Überackern</t>
  </si>
  <si>
    <t>Storage MAB</t>
  </si>
  <si>
    <t>Calculation of entry cluster tariffs</t>
  </si>
  <si>
    <t>Cluster Distance</t>
  </si>
  <si>
    <t>Distance-ratio to P1</t>
  </si>
  <si>
    <t>TSO</t>
  </si>
  <si>
    <t>Direction</t>
  </si>
  <si>
    <t>Type</t>
  </si>
  <si>
    <t>Point</t>
  </si>
  <si>
    <t>Exit</t>
  </si>
  <si>
    <t>FZK</t>
  </si>
  <si>
    <t>DZK</t>
  </si>
  <si>
    <t>other</t>
  </si>
  <si>
    <t>Murfeld</t>
  </si>
  <si>
    <t>Petrzalka</t>
  </si>
  <si>
    <t>Verteilergebiet</t>
  </si>
  <si>
    <t>VG-Kärnten</t>
  </si>
  <si>
    <t>Exit East</t>
  </si>
  <si>
    <t>Exit West</t>
  </si>
  <si>
    <t>Exit Murfeld</t>
  </si>
  <si>
    <t>Exit VG1</t>
  </si>
  <si>
    <t>-</t>
  </si>
  <si>
    <t>Exit Storage</t>
  </si>
  <si>
    <t>Exit Arnoldstein</t>
  </si>
  <si>
    <t>Exit VG-Kärnten</t>
  </si>
  <si>
    <t>Entry MG Ost</t>
  </si>
  <si>
    <t>Total relevant capacity (TVK)</t>
  </si>
  <si>
    <t>kWh/h</t>
  </si>
  <si>
    <t>km</t>
  </si>
  <si>
    <t>Cluster Distance-ratio to P1</t>
  </si>
  <si>
    <t>Mosonmagyarovar</t>
  </si>
  <si>
    <t>Auersthal</t>
  </si>
  <si>
    <t>Kirchberg</t>
  </si>
  <si>
    <t>Gr. Göttfritz</t>
  </si>
  <si>
    <t>Rainbach</t>
  </si>
  <si>
    <t>Bad Leonfelden</t>
  </si>
  <si>
    <t>Arnreith</t>
  </si>
  <si>
    <t>Baumgarten-PVS2</t>
  </si>
  <si>
    <t>Eggendorf</t>
  </si>
  <si>
    <t>Grafendorf</t>
  </si>
  <si>
    <t>St. Margarethen</t>
  </si>
  <si>
    <t>Weitendorf</t>
  </si>
  <si>
    <t>Sulmeck-Greith</t>
  </si>
  <si>
    <t>Ettendorf</t>
  </si>
  <si>
    <t>Waisenberg</t>
  </si>
  <si>
    <t>Ebenthal</t>
  </si>
  <si>
    <t>Finkenstein</t>
  </si>
  <si>
    <t>Calculation of exit tariffs</t>
  </si>
  <si>
    <t>kWh</t>
  </si>
  <si>
    <t>Calculation of exit cluster tariffs</t>
  </si>
  <si>
    <t>Calculation of entry tariffs</t>
  </si>
  <si>
    <t>Correction factor DZK entry</t>
  </si>
  <si>
    <t>Storage discount entry</t>
  </si>
  <si>
    <t>Storage discount exit</t>
  </si>
  <si>
    <t>Cluster name</t>
  </si>
  <si>
    <t>Pipeline distance (BMGT)</t>
  </si>
  <si>
    <t>Storage 7-fields</t>
  </si>
  <si>
    <t>EUR/kWh/h/a</t>
  </si>
  <si>
    <t>1000 Nm³/h/a</t>
  </si>
  <si>
    <t>TEUR</t>
  </si>
  <si>
    <t>EUR/kWh/h</t>
  </si>
  <si>
    <t>Distances to reference node BMGT</t>
  </si>
  <si>
    <t>Technical capacity (TVK)</t>
  </si>
  <si>
    <t>Total cost base</t>
  </si>
  <si>
    <t>Total planned tariff revenues TEUR</t>
  </si>
  <si>
    <t>Planned over-/underrecovery after ITCs</t>
  </si>
  <si>
    <t>capacity-</t>
  </si>
  <si>
    <t>Revenues</t>
  </si>
  <si>
    <t>kWh/h/a</t>
  </si>
  <si>
    <t>Net position = ITC (positive=receiving)</t>
  </si>
  <si>
    <t>Uberackern</t>
  </si>
  <si>
    <t>Driver for each Entry (Intra-Use)</t>
  </si>
  <si>
    <t>Driver for each Entry (Cross-Use)</t>
  </si>
  <si>
    <t>Revenue for Intra</t>
  </si>
  <si>
    <t>Revenue for Cross</t>
  </si>
  <si>
    <t>Cost driver for Entry Intra</t>
  </si>
  <si>
    <t>Cost driver for Exit Intra</t>
  </si>
  <si>
    <t>Cost driver for Intra</t>
  </si>
  <si>
    <t>Ratio intra</t>
  </si>
  <si>
    <t>Cost driver for Entry Cross</t>
  </si>
  <si>
    <t>Ratio cross</t>
  </si>
  <si>
    <t>Cost driver for Exit Cross</t>
  </si>
  <si>
    <t>Cost driver for Cross</t>
  </si>
  <si>
    <t>MWh/h</t>
  </si>
  <si>
    <t>MWh/h*km</t>
  </si>
  <si>
    <t>TEST results</t>
  </si>
  <si>
    <t>CAA capacity</t>
  </si>
  <si>
    <t>Entry tariff</t>
  </si>
  <si>
    <t>Entry capacity (Intra-Use)</t>
  </si>
  <si>
    <t>Entry capacity (Cross-Use)</t>
  </si>
  <si>
    <t>Weighted distance for each entry point to intra exits</t>
  </si>
  <si>
    <t>Weighted distance (km) for each exit point to the group of entry points</t>
  </si>
  <si>
    <t xml:space="preserve"> Weighted distance for each entry point to cross exits</t>
  </si>
  <si>
    <t>EUR/(km*MWh/h)</t>
  </si>
  <si>
    <t>CAA cap.</t>
  </si>
  <si>
    <t>Reference node Baumgarten</t>
  </si>
  <si>
    <t>Entry Arnoldstein DZK</t>
  </si>
  <si>
    <t>Entry Baumgarten</t>
  </si>
  <si>
    <t>Entry Oberkappel</t>
  </si>
  <si>
    <t>Entry Überackern</t>
  </si>
  <si>
    <t>x</t>
  </si>
  <si>
    <t>Auersthal DZK</t>
  </si>
  <si>
    <t>Storage 7F</t>
  </si>
  <si>
    <t>Bad Leonfelden DZK</t>
  </si>
  <si>
    <t>Exit point</t>
  </si>
  <si>
    <t>Distance in km</t>
  </si>
  <si>
    <t>Cross</t>
  </si>
  <si>
    <t>Intra</t>
  </si>
  <si>
    <t>Classification:</t>
  </si>
  <si>
    <t>Entry Murfeld</t>
  </si>
  <si>
    <t>Exit tariff EUR/kWh/h</t>
  </si>
  <si>
    <t>Driver for Exit Points</t>
  </si>
  <si>
    <t>tariff</t>
  </si>
  <si>
    <t>Theor. tariff FZK</t>
  </si>
  <si>
    <t>Theor. tariff DZK</t>
  </si>
  <si>
    <t>FZK tariff capped?</t>
  </si>
  <si>
    <t>DZK tariff capped?</t>
  </si>
  <si>
    <t>revenues:</t>
  </si>
  <si>
    <t>Capped unscaled tariff FZK</t>
  </si>
  <si>
    <t>Capped unscaled tariff DZK</t>
  </si>
  <si>
    <t>Initial global rescaling factor</t>
  </si>
  <si>
    <t>FZK cap exceeded new?</t>
  </si>
  <si>
    <t>DZK cap exceeded new?</t>
  </si>
  <si>
    <t>Max. tariff increase</t>
  </si>
  <si>
    <t>total underecovery due to cap before rescaling</t>
  </si>
  <si>
    <t>ITC GCA-&gt;TAG €</t>
  </si>
  <si>
    <t>eff. E/X split:</t>
  </si>
  <si>
    <t>*yearly firm capacity</t>
  </si>
  <si>
    <t>Sum</t>
  </si>
  <si>
    <t>ENTSOG TP data</t>
  </si>
  <si>
    <t>CR</t>
  </si>
  <si>
    <t>Rogatec</t>
  </si>
  <si>
    <t>SI consultation Document (2020)</t>
  </si>
  <si>
    <t>SI</t>
  </si>
  <si>
    <t>Cersak</t>
  </si>
  <si>
    <t>AT</t>
  </si>
  <si>
    <t>Source</t>
  </si>
  <si>
    <t>Total cost [Euro/(kWh/h)/a]</t>
  </si>
  <si>
    <t>Commodity tariff* [Euro/(kWh/h)]</t>
  </si>
  <si>
    <t>Capacity tariff* [Euro/(kWh/h)/a]</t>
  </si>
  <si>
    <t>Utilisation</t>
  </si>
  <si>
    <t>Country</t>
  </si>
  <si>
    <t>Option 2</t>
  </si>
  <si>
    <t>Dravaszerdahely</t>
  </si>
  <si>
    <t>HU</t>
  </si>
  <si>
    <t>Tariff model AT</t>
  </si>
  <si>
    <t>Option 1</t>
  </si>
  <si>
    <t>difference Moso/Murfeld</t>
  </si>
  <si>
    <t>Revenues projected on reference bookings</t>
  </si>
  <si>
    <t>Revenues ICT</t>
  </si>
  <si>
    <t>Over-/underrecovery of ICT</t>
  </si>
  <si>
    <t xml:space="preserve">ICT FZK </t>
  </si>
  <si>
    <t>ICT DZK</t>
  </si>
  <si>
    <t>Rescaling non-permissible</t>
  </si>
  <si>
    <t>First rescaling</t>
  </si>
  <si>
    <t>Recapped rescaled tariff FZK</t>
  </si>
  <si>
    <t>Recapped rescaled tariff DZK</t>
  </si>
  <si>
    <t>absolute</t>
  </si>
  <si>
    <t>difference</t>
  </si>
  <si>
    <t>relative</t>
  </si>
  <si>
    <t>Total costs to be recovered from entry</t>
  </si>
  <si>
    <t>Influenceable costs to be recovered from entry</t>
  </si>
  <si>
    <t>Total costs to be recovered from exit</t>
  </si>
  <si>
    <t>Influenceable costs to be recovered from exit</t>
  </si>
  <si>
    <t>based tariff</t>
  </si>
  <si>
    <t>Allowed costs (TEUR)</t>
  </si>
  <si>
    <t>GCA allowed costs €</t>
  </si>
  <si>
    <t>TAG allowed costs €</t>
  </si>
  <si>
    <t>E/X-Split before adjustments: Entry share</t>
  </si>
  <si>
    <t>Relevant technical capacity (TVK)</t>
  </si>
  <si>
    <t>FZK tariff VO 2017</t>
  </si>
  <si>
    <t>DZK tariff VO 2017</t>
  </si>
  <si>
    <t>Tariffs current tariff VO 2017</t>
  </si>
  <si>
    <t>Intra-/cross syst. split: intra share</t>
  </si>
  <si>
    <t>Benchmark tariff Murf. €/kWh/h</t>
  </si>
  <si>
    <t>Correction factor FZK</t>
  </si>
  <si>
    <t>Rescaling step 1</t>
  </si>
  <si>
    <t>Rescaling step 2</t>
  </si>
  <si>
    <t>Rescaling step 3</t>
  </si>
  <si>
    <t>Rescaled tariff FZK</t>
  </si>
  <si>
    <t>Rescaled tariff DZK</t>
  </si>
  <si>
    <t>Recapped re-rescaled tariff FZK</t>
  </si>
  <si>
    <t>Recapped re-rescaled tariff DZK</t>
  </si>
  <si>
    <t>Step 3 rescaled tariff FZK</t>
  </si>
  <si>
    <t>Step 3 rescaled tariff DZK</t>
  </si>
  <si>
    <t>Step 2 rescaled tariff FZK</t>
  </si>
  <si>
    <t>Step 2 rescaled tariff DZK</t>
  </si>
  <si>
    <t>VG discount entry</t>
  </si>
  <si>
    <t>FZK Exit distribution area Carinthia</t>
  </si>
  <si>
    <t>DZK Entry Arnoldstein (distribution grid)</t>
  </si>
  <si>
    <t>point</t>
  </si>
  <si>
    <t>FZK Exit Petrzalka</t>
  </si>
  <si>
    <t>FZK Exit distribution area</t>
  </si>
  <si>
    <t>FZK Entry distribution area</t>
  </si>
  <si>
    <t>DZK Entry Überackern (Oberkappel)</t>
  </si>
  <si>
    <t>DZK Exit distribution area (Baumgarten)</t>
  </si>
  <si>
    <t>DZK Exit distribution area (Oberkappel)</t>
  </si>
  <si>
    <t>DZK Exit Überackern (Oberkappel)</t>
  </si>
  <si>
    <t>ÜA Sudal (Überackern ABG)</t>
  </si>
  <si>
    <t>ÜA ABG (Überackern Sudal)</t>
  </si>
  <si>
    <t>Exit storage 7-fields</t>
  </si>
  <si>
    <t>Entry storage 7-fields</t>
  </si>
  <si>
    <t>Entry storage MAB</t>
  </si>
  <si>
    <t>Exit storage MAB</t>
  </si>
  <si>
    <t>Entry revenues dedicated to Intra (TEUR)</t>
  </si>
  <si>
    <t>Entry revenues dedicated to Cross (TEUR)</t>
  </si>
  <si>
    <t>Exit revenues from Intra (TEUR)</t>
  </si>
  <si>
    <t>Exit revenues from Cross (TEUR)</t>
  </si>
  <si>
    <t>Total exit cap. MWh/h</t>
  </si>
  <si>
    <t>Total entry cap.</t>
  </si>
  <si>
    <t>0,003 EUR/HUF</t>
  </si>
  <si>
    <t>Exchange Rate:</t>
  </si>
  <si>
    <t>FGSZ data for GY 2019</t>
  </si>
  <si>
    <t>Reference volumes Nm³</t>
  </si>
  <si>
    <t>Model consistency:</t>
  </si>
  <si>
    <t>Tariffs recover cost base?</t>
  </si>
  <si>
    <t>Tariff cap satisfied?</t>
  </si>
  <si>
    <t>ITC amounts correspond?</t>
  </si>
  <si>
    <t>Eff. E/X split: entry share</t>
  </si>
  <si>
    <t>Entry MG Ost cluster EN</t>
  </si>
  <si>
    <t>Entry MG Ost Cluster ST</t>
  </si>
  <si>
    <t>Total Allowed costs (TEUR)</t>
  </si>
  <si>
    <t xml:space="preserve">Base tariff entry </t>
  </si>
  <si>
    <t xml:space="preserve">Costs subject to ICT </t>
  </si>
  <si>
    <t xml:space="preserve">Base tariff exit </t>
  </si>
  <si>
    <t>GCA non-influenceable costs €</t>
  </si>
  <si>
    <t>GCA influenceable costs €</t>
  </si>
  <si>
    <t>TAG non-influenceable costs €</t>
  </si>
  <si>
    <t>TAG influenceable costs €</t>
  </si>
  <si>
    <t>Total Planned revenues (TEUR)</t>
  </si>
  <si>
    <t>Total Planned over-/underrecovery (TEUR)</t>
  </si>
  <si>
    <t>Reference Volumes</t>
  </si>
  <si>
    <r>
      <t xml:space="preserve">Reference Volumes next tariff period </t>
    </r>
    <r>
      <rPr>
        <sz val="11"/>
        <color theme="0"/>
        <rFont val="Calibri"/>
        <family val="2"/>
      </rPr>
      <t>↓→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</si>
</sst>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#,##0\ &quot;€&quot;;[Red]\-#,##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;\(#,##0.0\);\-"/>
    <numFmt numFmtId="167" formatCode="#,##0.0"/>
    <numFmt numFmtId="168" formatCode="_-* #,##0_-;\-* #,##0_-;_-* &quot;-&quot;??_-;_-@_-"/>
    <numFmt numFmtId="169" formatCode="0.000"/>
    <numFmt numFmtId="170" formatCode="0.0%"/>
    <numFmt numFmtId="171" formatCode="0.000000000000000000000"/>
    <numFmt numFmtId="172" formatCode="_-* #,##0.0000_-;\-* #,##0.0000_-;_-* &quot;-&quot;??_-;_-@_-"/>
    <numFmt numFmtId="173" formatCode="#,##0\ _€"/>
    <numFmt numFmtId="174" formatCode="#,##0.00\ _€"/>
    <numFmt numFmtId="175" formatCode="0.00000"/>
    <numFmt numFmtId="176" formatCode="###,###,##0.00"/>
    <numFmt numFmtId="177" formatCode="_-* #,##0.00\ [$€]_-;\-* #,##0.00\ [$€]_-;_-* &quot;-&quot;??\ [$€]_-;_-@_-"/>
    <numFmt numFmtId="178" formatCode="###,###,##0"/>
    <numFmt numFmtId="179" formatCode="###,###,##0.000"/>
    <numFmt numFmtId="180" formatCode="#,##0.0000"/>
    <numFmt numFmtId="181" formatCode="#,##0.00000"/>
    <numFmt numFmtId="182" formatCode="0.0000"/>
    <numFmt numFmtId="183" formatCode="0.00000%"/>
    <numFmt numFmtId="184" formatCode="_-* #,##0\ _€_-;\-* #,##0\ _€_-;_-* &quot;-&quot;??\ _€_-;_-@_-"/>
    <numFmt numFmtId="185" formatCode="0.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name val="Calibri"/>
      <family val="2"/>
      <scheme val="minor"/>
    </font>
    <font>
      <b/>
      <sz val="14"/>
      <color indexed="56"/>
      <name val="Trebuchet MS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theme="0"/>
      <name val="Trebuchet MS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0"/>
      <name val="Trebuchet MS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color indexed="8"/>
      <name val="Arial"/>
      <family val="2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color indexed="8"/>
      <name val="Arial"/>
      <family val="2"/>
    </font>
    <font>
      <u/>
      <sz val="11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8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0"/>
      <color theme="1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1"/>
      <color indexed="10"/>
      <name val="Calibri"/>
      <family val="2"/>
    </font>
    <font>
      <sz val="11"/>
      <color theme="0"/>
      <name val="Calibri"/>
      <family val="2"/>
    </font>
    <font>
      <sz val="11"/>
      <color theme="2" tint="-0.499984740745262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0"/>
      <color theme="1"/>
      <name val="Calibri"/>
      <family val="2"/>
    </font>
    <font>
      <b/>
      <sz val="6"/>
      <color theme="0"/>
      <name val="Trebuchet MS"/>
      <family val="2"/>
    </font>
  </fonts>
  <fills count="5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4C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E6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FBFBF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indexed="26"/>
      </patternFill>
    </fill>
    <fill>
      <patternFill patternType="solid">
        <fgColor theme="0" tint="0.59996337778862885"/>
        <bgColor indexed="64"/>
      </patternFill>
    </fill>
    <fill>
      <patternFill patternType="solid">
        <fgColor rgb="FF2A3F8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10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3" borderId="0" applyNumberFormat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4" borderId="0" applyNumberFormat="0" applyBorder="0" applyAlignment="0" applyProtection="0"/>
    <xf numFmtId="0" fontId="29" fillId="18" borderId="0" applyNumberFormat="0" applyBorder="0" applyAlignment="0" applyProtection="0"/>
    <xf numFmtId="0" fontId="30" fillId="35" borderId="36" applyNumberFormat="0" applyAlignment="0" applyProtection="0"/>
    <xf numFmtId="0" fontId="31" fillId="36" borderId="37" applyNumberFormat="0" applyAlignment="0" applyProtection="0"/>
    <xf numFmtId="0" fontId="32" fillId="0" borderId="0" applyNumberFormat="0" applyBorder="0" applyProtection="0"/>
    <xf numFmtId="14" fontId="32" fillId="0" borderId="0" applyBorder="0" applyProtection="0"/>
    <xf numFmtId="176" fontId="32" fillId="0" borderId="0" applyBorder="0" applyProtection="0">
      <alignment horizontal="right"/>
    </xf>
    <xf numFmtId="0" fontId="33" fillId="6" borderId="0" applyBorder="0" applyAlignment="0" applyProtection="0"/>
    <xf numFmtId="0" fontId="34" fillId="37" borderId="0" applyAlignment="0" applyProtection="0"/>
    <xf numFmtId="0" fontId="35" fillId="0" borderId="0" applyAlignment="0" applyProtection="0"/>
    <xf numFmtId="0" fontId="36" fillId="0" borderId="0"/>
    <xf numFmtId="165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19" borderId="0" applyNumberFormat="0" applyBorder="0" applyAlignment="0" applyProtection="0"/>
    <xf numFmtId="0" fontId="39" fillId="38" borderId="0" applyNumberFormat="0" applyBorder="0" applyProtection="0">
      <alignment horizontal="left"/>
    </xf>
    <xf numFmtId="0" fontId="40" fillId="0" borderId="38" applyNumberFormat="0" applyFill="0" applyAlignment="0" applyProtection="0"/>
    <xf numFmtId="0" fontId="41" fillId="0" borderId="39" applyNumberFormat="0" applyFill="0" applyAlignment="0" applyProtection="0"/>
    <xf numFmtId="0" fontId="42" fillId="0" borderId="40" applyNumberFormat="0" applyFill="0" applyAlignment="0" applyProtection="0"/>
    <xf numFmtId="0" fontId="42" fillId="0" borderId="40" applyNumberFormat="0" applyFill="0" applyAlignment="0" applyProtection="0"/>
    <xf numFmtId="0" fontId="42" fillId="0" borderId="0" applyNumberFormat="0" applyFill="0" applyBorder="0" applyAlignment="0" applyProtection="0"/>
    <xf numFmtId="14" fontId="43" fillId="0" borderId="0" applyBorder="0" applyProtection="0"/>
    <xf numFmtId="176" fontId="43" fillId="0" borderId="0" applyBorder="0" applyProtection="0"/>
    <xf numFmtId="178" fontId="43" fillId="0" borderId="0" applyBorder="0" applyProtection="0"/>
    <xf numFmtId="0" fontId="43" fillId="0" borderId="0" applyNumberFormat="0" applyBorder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22" borderId="36" applyNumberFormat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0" borderId="41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5" fontId="23" fillId="0" borderId="0"/>
    <xf numFmtId="0" fontId="47" fillId="39" borderId="42" applyNumberFormat="0" applyFont="0" applyAlignment="0" applyProtection="0"/>
    <xf numFmtId="178" fontId="32" fillId="0" borderId="0" applyBorder="0" applyProtection="0">
      <alignment horizontal="right"/>
    </xf>
    <xf numFmtId="0" fontId="48" fillId="35" borderId="43" applyNumberFormat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1" fillId="0" borderId="0"/>
    <xf numFmtId="0" fontId="23" fillId="0" borderId="0"/>
    <xf numFmtId="0" fontId="23" fillId="0" borderId="0"/>
    <xf numFmtId="0" fontId="49" fillId="0" borderId="0"/>
    <xf numFmtId="0" fontId="1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9" fontId="43" fillId="0" borderId="0" applyBorder="0" applyProtection="0"/>
    <xf numFmtId="179" fontId="32" fillId="0" borderId="0" applyBorder="0" applyProtection="0">
      <alignment horizontal="right"/>
    </xf>
    <xf numFmtId="0" fontId="51" fillId="0" borderId="0" applyNumberFormat="0" applyFill="0" applyBorder="0" applyAlignment="0" applyProtection="0"/>
    <xf numFmtId="0" fontId="52" fillId="0" borderId="44" applyNumberFormat="0" applyFill="0" applyAlignment="0" applyProtection="0"/>
    <xf numFmtId="0" fontId="34" fillId="40" borderId="0" applyNumberFormat="0" applyAlignment="0" applyProtection="0"/>
    <xf numFmtId="0" fontId="35" fillId="0" borderId="0" applyNumberFormat="0" applyAlignment="0" applyProtection="0"/>
    <xf numFmtId="0" fontId="34" fillId="41" borderId="0" applyNumberFormat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30" fillId="35" borderId="49" applyNumberFormat="0" applyAlignment="0" applyProtection="0"/>
    <xf numFmtId="0" fontId="45" fillId="22" borderId="49" applyNumberFormat="0" applyAlignment="0" applyProtection="0"/>
    <xf numFmtId="0" fontId="47" fillId="39" borderId="50" applyNumberFormat="0" applyFont="0" applyAlignment="0" applyProtection="0"/>
    <xf numFmtId="0" fontId="48" fillId="35" borderId="51" applyNumberFormat="0" applyAlignment="0" applyProtection="0"/>
    <xf numFmtId="0" fontId="52" fillId="0" borderId="52" applyNumberFormat="0" applyFill="0" applyAlignment="0" applyProtection="0"/>
  </cellStyleXfs>
  <cellXfs count="392">
    <xf numFmtId="0" fontId="0" fillId="0" borderId="0" xfId="0"/>
    <xf numFmtId="15" fontId="7" fillId="4" borderId="2" xfId="4" applyNumberFormat="1" applyFont="1" applyFill="1" applyBorder="1" applyAlignment="1">
      <alignment horizontal="left"/>
    </xf>
    <xf numFmtId="2" fontId="8" fillId="5" borderId="3" xfId="3" applyNumberFormat="1" applyFont="1" applyFill="1" applyBorder="1" applyAlignment="1">
      <alignment horizontal="center"/>
    </xf>
    <xf numFmtId="15" fontId="13" fillId="4" borderId="5" xfId="4" applyNumberFormat="1" applyFont="1" applyFill="1" applyBorder="1" applyAlignment="1">
      <alignment horizontal="left"/>
    </xf>
    <xf numFmtId="15" fontId="13" fillId="4" borderId="4" xfId="4" applyNumberFormat="1" applyFont="1" applyFill="1" applyBorder="1" applyAlignment="1">
      <alignment horizontal="left"/>
    </xf>
    <xf numFmtId="15" fontId="13" fillId="4" borderId="5" xfId="4" applyNumberFormat="1" applyFont="1" applyFill="1" applyBorder="1" applyAlignment="1">
      <alignment horizontal="center"/>
    </xf>
    <xf numFmtId="15" fontId="13" fillId="4" borderId="9" xfId="4" applyNumberFormat="1" applyFont="1" applyFill="1" applyBorder="1" applyAlignment="1">
      <alignment horizontal="center"/>
    </xf>
    <xf numFmtId="15" fontId="13" fillId="4" borderId="4" xfId="4" applyNumberFormat="1" applyFont="1" applyFill="1" applyBorder="1" applyAlignment="1">
      <alignment horizontal="center"/>
    </xf>
    <xf numFmtId="15" fontId="13" fillId="4" borderId="0" xfId="4" applyNumberFormat="1" applyFont="1" applyFill="1" applyBorder="1" applyAlignment="1">
      <alignment horizontal="left"/>
    </xf>
    <xf numFmtId="15" fontId="13" fillId="4" borderId="0" xfId="4" applyNumberFormat="1" applyFont="1" applyFill="1" applyBorder="1" applyAlignment="1">
      <alignment horizontal="center"/>
    </xf>
    <xf numFmtId="15" fontId="13" fillId="4" borderId="10" xfId="4" applyNumberFormat="1" applyFont="1" applyFill="1" applyBorder="1" applyAlignment="1">
      <alignment horizontal="center"/>
    </xf>
    <xf numFmtId="15" fontId="13" fillId="4" borderId="12" xfId="4" applyNumberFormat="1" applyFont="1" applyFill="1" applyBorder="1" applyAlignment="1">
      <alignment horizontal="center"/>
    </xf>
    <xf numFmtId="15" fontId="13" fillId="4" borderId="10" xfId="4" applyNumberFormat="1" applyFont="1" applyFill="1" applyBorder="1" applyAlignment="1">
      <alignment horizontal="left"/>
    </xf>
    <xf numFmtId="15" fontId="13" fillId="4" borderId="6" xfId="4" applyNumberFormat="1" applyFont="1" applyFill="1" applyBorder="1" applyAlignment="1">
      <alignment horizontal="left"/>
    </xf>
    <xf numFmtId="15" fontId="13" fillId="4" borderId="7" xfId="4" applyNumberFormat="1" applyFont="1" applyFill="1" applyBorder="1" applyAlignment="1">
      <alignment horizontal="left"/>
    </xf>
    <xf numFmtId="2" fontId="2" fillId="4" borderId="0" xfId="3" applyNumberFormat="1" applyFill="1" applyBorder="1" applyAlignment="1">
      <alignment horizontal="center"/>
    </xf>
    <xf numFmtId="2" fontId="2" fillId="4" borderId="7" xfId="3" applyNumberFormat="1" applyFill="1" applyBorder="1" applyAlignment="1">
      <alignment horizontal="center"/>
    </xf>
    <xf numFmtId="0" fontId="16" fillId="7" borderId="0" xfId="0" applyFont="1" applyFill="1"/>
    <xf numFmtId="0" fontId="0" fillId="0" borderId="0" xfId="0" applyAlignment="1">
      <alignment horizontal="right"/>
    </xf>
    <xf numFmtId="168" fontId="0" fillId="0" borderId="0" xfId="1" applyNumberFormat="1" applyFont="1"/>
    <xf numFmtId="168" fontId="0" fillId="0" borderId="0" xfId="9" applyNumberFormat="1" applyFont="1"/>
    <xf numFmtId="9" fontId="8" fillId="5" borderId="3" xfId="2" applyFont="1" applyFill="1" applyBorder="1" applyAlignment="1">
      <alignment horizontal="center"/>
    </xf>
    <xf numFmtId="0" fontId="5" fillId="0" borderId="0" xfId="0" applyFont="1"/>
    <xf numFmtId="0" fontId="17" fillId="0" borderId="0" xfId="0" applyFont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2" fontId="0" fillId="0" borderId="0" xfId="0" applyNumberFormat="1"/>
    <xf numFmtId="3" fontId="0" fillId="0" borderId="0" xfId="0" applyNumberFormat="1"/>
    <xf numFmtId="169" fontId="0" fillId="0" borderId="0" xfId="0" applyNumberFormat="1"/>
    <xf numFmtId="2" fontId="14" fillId="0" borderId="0" xfId="0" applyNumberFormat="1" applyFont="1"/>
    <xf numFmtId="43" fontId="0" fillId="0" borderId="0" xfId="9" applyFont="1"/>
    <xf numFmtId="0" fontId="0" fillId="0" borderId="0" xfId="0" applyAlignment="1">
      <alignment horizontal="center"/>
    </xf>
    <xf numFmtId="0" fontId="5" fillId="0" borderId="25" xfId="0" applyFont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3" fontId="0" fillId="0" borderId="0" xfId="0" applyNumberFormat="1" applyFill="1"/>
    <xf numFmtId="0" fontId="18" fillId="0" borderId="0" xfId="0" applyFont="1" applyAlignment="1">
      <alignment horizontal="center"/>
    </xf>
    <xf numFmtId="4" fontId="0" fillId="0" borderId="0" xfId="0" applyNumberFormat="1" applyFill="1"/>
    <xf numFmtId="0" fontId="5" fillId="0" borderId="24" xfId="0" applyFont="1" applyFill="1" applyBorder="1" applyAlignment="1">
      <alignment horizontal="center" wrapText="1"/>
    </xf>
    <xf numFmtId="2" fontId="14" fillId="0" borderId="0" xfId="0" applyNumberFormat="1" applyFont="1" applyFill="1"/>
    <xf numFmtId="0" fontId="0" fillId="0" borderId="0" xfId="0" applyFill="1"/>
    <xf numFmtId="9" fontId="0" fillId="0" borderId="0" xfId="2" applyFont="1" applyFill="1"/>
    <xf numFmtId="0" fontId="0" fillId="0" borderId="0" xfId="0" applyFill="1" applyBorder="1"/>
    <xf numFmtId="3" fontId="19" fillId="0" borderId="0" xfId="0" applyNumberFormat="1" applyFont="1"/>
    <xf numFmtId="170" fontId="0" fillId="0" borderId="0" xfId="2" applyNumberFormat="1" applyFont="1"/>
    <xf numFmtId="171" fontId="0" fillId="0" borderId="0" xfId="0" applyNumberFormat="1"/>
    <xf numFmtId="0" fontId="0" fillId="0" borderId="0" xfId="0" applyBorder="1"/>
    <xf numFmtId="3" fontId="16" fillId="7" borderId="0" xfId="0" applyNumberFormat="1" applyFont="1" applyFill="1"/>
    <xf numFmtId="3" fontId="0" fillId="0" borderId="0" xfId="0" applyNumberForma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43" fontId="0" fillId="0" borderId="0" xfId="9" applyFont="1" applyFill="1"/>
    <xf numFmtId="3" fontId="19" fillId="0" borderId="0" xfId="0" applyNumberFormat="1" applyFont="1" applyFill="1"/>
    <xf numFmtId="2" fontId="8" fillId="5" borderId="3" xfId="2" applyNumberFormat="1" applyFont="1" applyFill="1" applyBorder="1" applyAlignment="1">
      <alignment horizontal="center"/>
    </xf>
    <xf numFmtId="2" fontId="2" fillId="4" borderId="5" xfId="3" applyNumberFormat="1" applyFill="1" applyBorder="1" applyAlignment="1">
      <alignment horizontal="center"/>
    </xf>
    <xf numFmtId="167" fontId="8" fillId="8" borderId="3" xfId="3" applyNumberFormat="1" applyFont="1" applyFill="1" applyBorder="1" applyAlignment="1">
      <alignment horizontal="right"/>
    </xf>
    <xf numFmtId="2" fontId="2" fillId="4" borderId="12" xfId="3" applyNumberFormat="1" applyFill="1" applyBorder="1" applyAlignment="1">
      <alignment horizontal="center"/>
    </xf>
    <xf numFmtId="1" fontId="0" fillId="0" borderId="0" xfId="0" applyNumberFormat="1"/>
    <xf numFmtId="3" fontId="5" fillId="0" borderId="0" xfId="0" applyNumberFormat="1" applyFont="1"/>
    <xf numFmtId="167" fontId="14" fillId="0" borderId="22" xfId="3" applyNumberFormat="1" applyFont="1" applyFill="1" applyBorder="1" applyAlignment="1">
      <alignment horizontal="right"/>
    </xf>
    <xf numFmtId="167" fontId="14" fillId="0" borderId="22" xfId="7" applyNumberFormat="1" applyFont="1" applyFill="1" applyBorder="1" applyAlignment="1">
      <alignment horizontal="right"/>
    </xf>
    <xf numFmtId="15" fontId="7" fillId="4" borderId="21" xfId="4" applyNumberFormat="1" applyFont="1" applyFill="1" applyBorder="1" applyAlignment="1">
      <alignment horizontal="left"/>
    </xf>
    <xf numFmtId="2" fontId="0" fillId="0" borderId="0" xfId="0" applyNumberFormat="1" applyFill="1" applyBorder="1"/>
    <xf numFmtId="3" fontId="0" fillId="0" borderId="0" xfId="0" applyNumberFormat="1" applyFill="1" applyBorder="1"/>
    <xf numFmtId="0" fontId="17" fillId="0" borderId="0" xfId="0" applyFont="1" applyFill="1" applyAlignment="1">
      <alignment horizontal="center"/>
    </xf>
    <xf numFmtId="3" fontId="14" fillId="0" borderId="0" xfId="0" applyNumberFormat="1" applyFont="1" applyFill="1"/>
    <xf numFmtId="15" fontId="7" fillId="4" borderId="4" xfId="4" applyNumberFormat="1" applyFont="1" applyFill="1" applyBorder="1" applyAlignment="1">
      <alignment horizontal="left"/>
    </xf>
    <xf numFmtId="15" fontId="7" fillId="4" borderId="2" xfId="4" applyNumberFormat="1" applyFont="1" applyFill="1" applyBorder="1" applyAlignment="1">
      <alignment horizontal="left" indent="1"/>
    </xf>
    <xf numFmtId="167" fontId="14" fillId="0" borderId="8" xfId="7" applyNumberFormat="1" applyFont="1" applyFill="1" applyBorder="1" applyAlignment="1">
      <alignment horizontal="right"/>
    </xf>
    <xf numFmtId="2" fontId="8" fillId="0" borderId="13" xfId="3" applyNumberFormat="1" applyFont="1" applyFill="1" applyBorder="1" applyAlignment="1">
      <alignment horizontal="center"/>
    </xf>
    <xf numFmtId="15" fontId="22" fillId="4" borderId="0" xfId="4" applyNumberFormat="1" applyFont="1" applyFill="1" applyBorder="1" applyAlignment="1">
      <alignment horizontal="center"/>
    </xf>
    <xf numFmtId="3" fontId="8" fillId="8" borderId="3" xfId="3" applyNumberFormat="1" applyFont="1" applyFill="1" applyBorder="1" applyAlignment="1">
      <alignment horizontal="right"/>
    </xf>
    <xf numFmtId="15" fontId="7" fillId="11" borderId="2" xfId="4" applyNumberFormat="1" applyFont="1" applyFill="1" applyBorder="1" applyAlignment="1">
      <alignment horizontal="left"/>
    </xf>
    <xf numFmtId="2" fontId="8" fillId="0" borderId="17" xfId="3" applyNumberFormat="1" applyFont="1" applyFill="1" applyBorder="1" applyAlignment="1">
      <alignment horizontal="center"/>
    </xf>
    <xf numFmtId="172" fontId="0" fillId="0" borderId="0" xfId="0" applyNumberFormat="1"/>
    <xf numFmtId="0" fontId="18" fillId="10" borderId="0" xfId="0" applyFont="1" applyFill="1"/>
    <xf numFmtId="0" fontId="0" fillId="10" borderId="0" xfId="0" applyFont="1" applyFill="1"/>
    <xf numFmtId="0" fontId="0" fillId="0" borderId="0" xfId="0" applyFont="1"/>
    <xf numFmtId="0" fontId="14" fillId="10" borderId="0" xfId="10" applyFont="1" applyFill="1"/>
    <xf numFmtId="0" fontId="0" fillId="10" borderId="0" xfId="0" applyFont="1" applyFill="1" applyBorder="1"/>
    <xf numFmtId="1" fontId="0" fillId="10" borderId="0" xfId="0" applyNumberFormat="1" applyFont="1" applyFill="1" applyBorder="1"/>
    <xf numFmtId="0" fontId="17" fillId="10" borderId="0" xfId="0" applyFont="1" applyFill="1"/>
    <xf numFmtId="0" fontId="0" fillId="0" borderId="0" xfId="0" applyFont="1" applyAlignment="1">
      <alignment wrapText="1"/>
    </xf>
    <xf numFmtId="0" fontId="0" fillId="10" borderId="0" xfId="0" applyFont="1" applyFill="1" applyAlignment="1">
      <alignment wrapText="1"/>
    </xf>
    <xf numFmtId="173" fontId="0" fillId="10" borderId="0" xfId="10" applyNumberFormat="1" applyFont="1" applyFill="1" applyBorder="1" applyAlignment="1">
      <alignment horizontal="center"/>
    </xf>
    <xf numFmtId="173" fontId="0" fillId="10" borderId="0" xfId="0" applyNumberFormat="1" applyFont="1" applyFill="1" applyAlignment="1">
      <alignment horizontal="center"/>
    </xf>
    <xf numFmtId="0" fontId="20" fillId="10" borderId="0" xfId="0" applyFont="1" applyFill="1"/>
    <xf numFmtId="3" fontId="0" fillId="10" borderId="0" xfId="0" applyNumberFormat="1" applyFont="1" applyFill="1"/>
    <xf numFmtId="3" fontId="14" fillId="10" borderId="0" xfId="0" applyNumberFormat="1" applyFont="1" applyFill="1"/>
    <xf numFmtId="3" fontId="0" fillId="10" borderId="0" xfId="0" applyNumberFormat="1" applyFont="1" applyFill="1" applyBorder="1"/>
    <xf numFmtId="0" fontId="8" fillId="10" borderId="32" xfId="0" applyFont="1" applyFill="1" applyBorder="1"/>
    <xf numFmtId="0" fontId="6" fillId="12" borderId="32" xfId="10" applyFont="1" applyFill="1" applyBorder="1" applyAlignment="1">
      <alignment horizontal="center" wrapText="1"/>
    </xf>
    <xf numFmtId="173" fontId="0" fillId="0" borderId="32" xfId="10" applyNumberFormat="1" applyFont="1" applyFill="1" applyBorder="1" applyAlignment="1">
      <alignment horizontal="right"/>
    </xf>
    <xf numFmtId="0" fontId="3" fillId="12" borderId="32" xfId="0" applyFont="1" applyFill="1" applyBorder="1" applyAlignment="1">
      <alignment horizontal="center"/>
    </xf>
    <xf numFmtId="170" fontId="8" fillId="8" borderId="3" xfId="2" applyNumberFormat="1" applyFont="1" applyFill="1" applyBorder="1" applyAlignment="1">
      <alignment horizontal="right"/>
    </xf>
    <xf numFmtId="0" fontId="0" fillId="10" borderId="0" xfId="0" applyFont="1" applyFill="1" applyAlignment="1">
      <alignment horizontal="right"/>
    </xf>
    <xf numFmtId="0" fontId="0" fillId="10" borderId="0" xfId="0" applyFont="1" applyFill="1" applyBorder="1" applyAlignment="1">
      <alignment horizontal="right"/>
    </xf>
    <xf numFmtId="0" fontId="14" fillId="10" borderId="25" xfId="10" applyFont="1" applyFill="1" applyBorder="1" applyAlignment="1">
      <alignment horizontal="right"/>
    </xf>
    <xf numFmtId="0" fontId="14" fillId="10" borderId="26" xfId="10" applyFont="1" applyFill="1" applyBorder="1" applyAlignment="1">
      <alignment horizontal="right"/>
    </xf>
    <xf numFmtId="3" fontId="0" fillId="10" borderId="32" xfId="0" applyNumberFormat="1" applyFont="1" applyFill="1" applyBorder="1"/>
    <xf numFmtId="3" fontId="8" fillId="10" borderId="32" xfId="0" applyNumberFormat="1" applyFont="1" applyFill="1" applyBorder="1"/>
    <xf numFmtId="3" fontId="14" fillId="10" borderId="32" xfId="0" applyNumberFormat="1" applyFont="1" applyFill="1" applyBorder="1"/>
    <xf numFmtId="0" fontId="8" fillId="10" borderId="32" xfId="0" applyFont="1" applyFill="1" applyBorder="1" applyAlignment="1">
      <alignment horizontal="right"/>
    </xf>
    <xf numFmtId="0" fontId="6" fillId="13" borderId="32" xfId="10" applyFont="1" applyFill="1" applyBorder="1" applyAlignment="1">
      <alignment vertical="center"/>
    </xf>
    <xf numFmtId="0" fontId="6" fillId="12" borderId="32" xfId="10" applyFont="1" applyFill="1" applyBorder="1" applyAlignment="1">
      <alignment vertical="center"/>
    </xf>
    <xf numFmtId="0" fontId="6" fillId="12" borderId="32" xfId="10" applyFont="1" applyFill="1" applyBorder="1" applyAlignment="1">
      <alignment vertical="center" wrapText="1"/>
    </xf>
    <xf numFmtId="0" fontId="6" fillId="13" borderId="34" xfId="10" applyFont="1" applyFill="1" applyBorder="1" applyAlignment="1">
      <alignment horizontal="center" wrapText="1"/>
    </xf>
    <xf numFmtId="0" fontId="6" fillId="12" borderId="26" xfId="10" applyFont="1" applyFill="1" applyBorder="1" applyAlignment="1">
      <alignment horizontal="right"/>
    </xf>
    <xf numFmtId="173" fontId="14" fillId="10" borderId="26" xfId="10" applyNumberFormat="1" applyFont="1" applyFill="1" applyBorder="1" applyAlignment="1">
      <alignment horizontal="right"/>
    </xf>
    <xf numFmtId="173" fontId="14" fillId="10" borderId="32" xfId="10" applyNumberFormat="1" applyFont="1" applyFill="1" applyBorder="1" applyAlignment="1">
      <alignment horizontal="right"/>
    </xf>
    <xf numFmtId="174" fontId="14" fillId="9" borderId="32" xfId="10" applyNumberFormat="1" applyFont="1" applyFill="1" applyBorder="1" applyAlignment="1">
      <alignment horizontal="right"/>
    </xf>
    <xf numFmtId="0" fontId="18" fillId="10" borderId="0" xfId="0" applyFont="1" applyFill="1" applyAlignment="1">
      <alignment horizontal="center"/>
    </xf>
    <xf numFmtId="0" fontId="4" fillId="10" borderId="0" xfId="0" applyFont="1" applyFill="1"/>
    <xf numFmtId="173" fontId="0" fillId="10" borderId="0" xfId="0" applyNumberFormat="1" applyFont="1" applyFill="1"/>
    <xf numFmtId="173" fontId="25" fillId="10" borderId="0" xfId="10" applyNumberFormat="1" applyFont="1" applyFill="1" applyBorder="1" applyAlignment="1"/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right"/>
    </xf>
    <xf numFmtId="0" fontId="0" fillId="10" borderId="0" xfId="0" applyFont="1" applyFill="1" applyAlignment="1">
      <alignment horizontal="center"/>
    </xf>
    <xf numFmtId="2" fontId="14" fillId="0" borderId="32" xfId="10" applyNumberFormat="1" applyFont="1" applyFill="1" applyBorder="1" applyAlignment="1">
      <alignment vertical="center"/>
    </xf>
    <xf numFmtId="0" fontId="3" fillId="15" borderId="35" xfId="0" applyFont="1" applyFill="1" applyBorder="1" applyAlignment="1">
      <alignment horizontal="center" wrapText="1"/>
    </xf>
    <xf numFmtId="0" fontId="0" fillId="0" borderId="32" xfId="0" applyBorder="1"/>
    <xf numFmtId="2" fontId="0" fillId="10" borderId="32" xfId="0" applyNumberFormat="1" applyFill="1" applyBorder="1"/>
    <xf numFmtId="2" fontId="0" fillId="16" borderId="32" xfId="0" applyNumberFormat="1" applyFill="1" applyBorder="1"/>
    <xf numFmtId="3" fontId="0" fillId="0" borderId="32" xfId="0" applyNumberFormat="1" applyBorder="1"/>
    <xf numFmtId="3" fontId="0" fillId="0" borderId="32" xfId="0" applyNumberFormat="1" applyFont="1" applyFill="1" applyBorder="1"/>
    <xf numFmtId="0" fontId="3" fillId="15" borderId="0" xfId="0" applyFont="1" applyFill="1" applyBorder="1" applyAlignment="1">
      <alignment horizontal="center" wrapText="1"/>
    </xf>
    <xf numFmtId="0" fontId="0" fillId="0" borderId="33" xfId="0" applyBorder="1"/>
    <xf numFmtId="0" fontId="0" fillId="16" borderId="0" xfId="0" applyFill="1"/>
    <xf numFmtId="0" fontId="0" fillId="16" borderId="33" xfId="0" applyFont="1" applyFill="1" applyBorder="1"/>
    <xf numFmtId="0" fontId="0" fillId="16" borderId="32" xfId="0" applyFont="1" applyFill="1" applyBorder="1"/>
    <xf numFmtId="2" fontId="0" fillId="16" borderId="32" xfId="0" applyNumberFormat="1" applyFont="1" applyFill="1" applyBorder="1"/>
    <xf numFmtId="175" fontId="0" fillId="16" borderId="32" xfId="0" applyNumberFormat="1" applyFont="1" applyFill="1" applyBorder="1"/>
    <xf numFmtId="1" fontId="14" fillId="0" borderId="32" xfId="0" applyNumberFormat="1" applyFont="1" applyFill="1" applyBorder="1" applyAlignment="1">
      <alignment horizontal="right"/>
    </xf>
    <xf numFmtId="0" fontId="6" fillId="12" borderId="26" xfId="10" applyFont="1" applyFill="1" applyBorder="1" applyAlignment="1">
      <alignment horizontal="center" wrapText="1"/>
    </xf>
    <xf numFmtId="0" fontId="24" fillId="10" borderId="0" xfId="10" applyFont="1" applyFill="1" applyAlignment="1">
      <alignment horizontal="right"/>
    </xf>
    <xf numFmtId="1" fontId="0" fillId="10" borderId="0" xfId="0" applyNumberFormat="1" applyFont="1" applyFill="1"/>
    <xf numFmtId="0" fontId="14" fillId="5" borderId="32" xfId="0" applyFont="1" applyFill="1" applyBorder="1" applyAlignment="1">
      <alignment horizontal="center"/>
    </xf>
    <xf numFmtId="0" fontId="14" fillId="10" borderId="24" xfId="10" applyFont="1" applyFill="1" applyBorder="1" applyAlignment="1">
      <alignment horizontal="right"/>
    </xf>
    <xf numFmtId="2" fontId="14" fillId="0" borderId="32" xfId="10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/>
    </xf>
    <xf numFmtId="0" fontId="6" fillId="13" borderId="46" xfId="10" applyFont="1" applyFill="1" applyBorder="1" applyAlignment="1">
      <alignment horizontal="left" wrapText="1"/>
    </xf>
    <xf numFmtId="0" fontId="6" fillId="13" borderId="46" xfId="10" applyFont="1" applyFill="1" applyBorder="1" applyAlignment="1">
      <alignment horizontal="right" wrapText="1"/>
    </xf>
    <xf numFmtId="0" fontId="6" fillId="13" borderId="32" xfId="10" applyFont="1" applyFill="1" applyBorder="1" applyAlignment="1">
      <alignment horizontal="left" vertical="center"/>
    </xf>
    <xf numFmtId="0" fontId="6" fillId="13" borderId="32" xfId="10" applyFont="1" applyFill="1" applyBorder="1" applyAlignment="1">
      <alignment horizontal="right" vertical="center"/>
    </xf>
    <xf numFmtId="3" fontId="14" fillId="10" borderId="26" xfId="0" applyNumberFormat="1" applyFont="1" applyFill="1" applyBorder="1" applyAlignment="1"/>
    <xf numFmtId="0" fontId="14" fillId="10" borderId="47" xfId="10" applyFont="1" applyFill="1" applyBorder="1" applyAlignment="1">
      <alignment horizontal="right"/>
    </xf>
    <xf numFmtId="0" fontId="14" fillId="10" borderId="48" xfId="10" applyFont="1" applyFill="1" applyBorder="1" applyAlignment="1">
      <alignment horizontal="right"/>
    </xf>
    <xf numFmtId="0" fontId="14" fillId="10" borderId="45" xfId="10" applyFont="1" applyFill="1" applyBorder="1" applyAlignment="1">
      <alignment horizontal="right"/>
    </xf>
    <xf numFmtId="3" fontId="8" fillId="10" borderId="26" xfId="0" applyNumberFormat="1" applyFont="1" applyFill="1" applyBorder="1"/>
    <xf numFmtId="0" fontId="6" fillId="12" borderId="25" xfId="10" applyFont="1" applyFill="1" applyBorder="1" applyAlignment="1">
      <alignment horizontal="right"/>
    </xf>
    <xf numFmtId="0" fontId="6" fillId="12" borderId="24" xfId="10" applyFont="1" applyFill="1" applyBorder="1" applyAlignment="1">
      <alignment horizontal="right"/>
    </xf>
    <xf numFmtId="0" fontId="6" fillId="12" borderId="47" xfId="10" applyFont="1" applyFill="1" applyBorder="1" applyAlignment="1">
      <alignment horizontal="right"/>
    </xf>
    <xf numFmtId="0" fontId="6" fillId="12" borderId="48" xfId="10" applyFont="1" applyFill="1" applyBorder="1" applyAlignment="1">
      <alignment horizontal="right"/>
    </xf>
    <xf numFmtId="0" fontId="6" fillId="12" borderId="45" xfId="10" applyFont="1" applyFill="1" applyBorder="1" applyAlignment="1">
      <alignment horizontal="right"/>
    </xf>
    <xf numFmtId="3" fontId="14" fillId="10" borderId="26" xfId="0" applyNumberFormat="1" applyFont="1" applyFill="1" applyBorder="1"/>
    <xf numFmtId="3" fontId="4" fillId="0" borderId="0" xfId="0" applyNumberFormat="1" applyFont="1" applyFill="1"/>
    <xf numFmtId="0" fontId="4" fillId="0" borderId="0" xfId="0" applyFont="1" applyFill="1"/>
    <xf numFmtId="4" fontId="0" fillId="0" borderId="0" xfId="0" applyNumberFormat="1"/>
    <xf numFmtId="0" fontId="0" fillId="0" borderId="0" xfId="0" applyAlignment="1">
      <alignment wrapText="1"/>
    </xf>
    <xf numFmtId="169" fontId="0" fillId="0" borderId="0" xfId="0" applyNumberFormat="1" applyFill="1"/>
    <xf numFmtId="1" fontId="0" fillId="0" borderId="0" xfId="0" applyNumberFormat="1" applyFill="1" applyAlignment="1">
      <alignment horizontal="center"/>
    </xf>
    <xf numFmtId="9" fontId="0" fillId="0" borderId="0" xfId="2" applyFont="1"/>
    <xf numFmtId="0" fontId="5" fillId="0" borderId="0" xfId="0" applyFont="1" applyAlignment="1">
      <alignment horizontal="right" vertical="center"/>
    </xf>
    <xf numFmtId="170" fontId="5" fillId="0" borderId="22" xfId="2" applyNumberFormat="1" applyFont="1" applyBorder="1" applyAlignment="1">
      <alignment vertical="center"/>
    </xf>
    <xf numFmtId="10" fontId="0" fillId="0" borderId="0" xfId="2" applyNumberFormat="1" applyFont="1" applyFill="1"/>
    <xf numFmtId="0" fontId="0" fillId="0" borderId="0" xfId="0"/>
    <xf numFmtId="2" fontId="0" fillId="0" borderId="0" xfId="0" applyNumberFormat="1" applyFill="1"/>
    <xf numFmtId="181" fontId="0" fillId="16" borderId="0" xfId="0" applyNumberFormat="1" applyFill="1"/>
    <xf numFmtId="9" fontId="0" fillId="16" borderId="0" xfId="0" applyNumberFormat="1" applyFill="1"/>
    <xf numFmtId="0" fontId="5" fillId="0" borderId="2" xfId="0" applyFont="1" applyBorder="1"/>
    <xf numFmtId="10" fontId="8" fillId="8" borderId="3" xfId="2" applyNumberFormat="1" applyFont="1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0" fontId="3" fillId="10" borderId="0" xfId="0" applyFont="1" applyFill="1"/>
    <xf numFmtId="0" fontId="0" fillId="10" borderId="0" xfId="0" applyFill="1"/>
    <xf numFmtId="169" fontId="0" fillId="0" borderId="0" xfId="0" applyNumberFormat="1" applyFill="1" applyAlignment="1">
      <alignment horizontal="center"/>
    </xf>
    <xf numFmtId="182" fontId="0" fillId="0" borderId="0" xfId="0" applyNumberFormat="1" applyFill="1" applyAlignment="1">
      <alignment horizontal="center"/>
    </xf>
    <xf numFmtId="183" fontId="5" fillId="0" borderId="22" xfId="2" applyNumberFormat="1" applyFont="1" applyBorder="1" applyAlignment="1">
      <alignment vertical="center"/>
    </xf>
    <xf numFmtId="9" fontId="0" fillId="10" borderId="0" xfId="2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0" xfId="10" applyFont="1" applyFill="1" applyBorder="1" applyAlignment="1"/>
    <xf numFmtId="2" fontId="8" fillId="0" borderId="16" xfId="3" applyNumberFormat="1" applyFont="1" applyFill="1" applyBorder="1" applyAlignment="1">
      <alignment horizontal="center"/>
    </xf>
    <xf numFmtId="2" fontId="8" fillId="0" borderId="19" xfId="3" applyNumberFormat="1" applyFont="1" applyFill="1" applyBorder="1" applyAlignment="1">
      <alignment horizontal="center"/>
    </xf>
    <xf numFmtId="168" fontId="0" fillId="0" borderId="0" xfId="9" applyNumberFormat="1" applyFont="1" applyFill="1"/>
    <xf numFmtId="170" fontId="14" fillId="10" borderId="0" xfId="2" applyNumberFormat="1" applyFont="1" applyFill="1"/>
    <xf numFmtId="2" fontId="19" fillId="0" borderId="0" xfId="0" applyNumberFormat="1" applyFont="1" applyFill="1"/>
    <xf numFmtId="0" fontId="19" fillId="0" borderId="0" xfId="0" applyFont="1" applyFill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3" fontId="14" fillId="0" borderId="13" xfId="3" applyNumberFormat="1" applyFont="1" applyFill="1" applyBorder="1" applyAlignment="1">
      <alignment horizontal="center"/>
    </xf>
    <xf numFmtId="3" fontId="14" fillId="0" borderId="17" xfId="3" applyNumberFormat="1" applyFont="1" applyFill="1" applyBorder="1" applyAlignment="1">
      <alignment horizontal="center"/>
    </xf>
    <xf numFmtId="3" fontId="5" fillId="0" borderId="0" xfId="0" applyNumberFormat="1" applyFont="1" applyFill="1"/>
    <xf numFmtId="0" fontId="56" fillId="0" borderId="0" xfId="0" applyFont="1" applyFill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/>
    <xf numFmtId="0" fontId="14" fillId="0" borderId="0" xfId="0" applyFont="1" applyFill="1"/>
    <xf numFmtId="170" fontId="14" fillId="0" borderId="0" xfId="2" applyNumberFormat="1" applyFont="1" applyFill="1"/>
    <xf numFmtId="0" fontId="8" fillId="0" borderId="0" xfId="0" applyFont="1" applyFill="1" applyAlignment="1">
      <alignment horizontal="right"/>
    </xf>
    <xf numFmtId="3" fontId="8" fillId="0" borderId="22" xfId="0" applyNumberFormat="1" applyFont="1" applyFill="1" applyBorder="1"/>
    <xf numFmtId="167" fontId="8" fillId="0" borderId="22" xfId="0" applyNumberFormat="1" applyFont="1" applyFill="1" applyBorder="1"/>
    <xf numFmtId="0" fontId="8" fillId="0" borderId="0" xfId="0" applyFont="1" applyFill="1"/>
    <xf numFmtId="0" fontId="5" fillId="0" borderId="25" xfId="0" applyFont="1" applyFill="1" applyBorder="1" applyAlignment="1">
      <alignment horizontal="center" wrapText="1"/>
    </xf>
    <xf numFmtId="0" fontId="0" fillId="42" borderId="0" xfId="0" applyFill="1"/>
    <xf numFmtId="0" fontId="8" fillId="0" borderId="61" xfId="0" applyFont="1" applyFill="1" applyBorder="1" applyAlignment="1">
      <alignment horizontal="center" wrapText="1"/>
    </xf>
    <xf numFmtId="0" fontId="8" fillId="0" borderId="62" xfId="0" applyFont="1" applyFill="1" applyBorder="1" applyAlignment="1">
      <alignment horizontal="center" wrapText="1"/>
    </xf>
    <xf numFmtId="169" fontId="0" fillId="0" borderId="10" xfId="0" applyNumberFormat="1" applyFill="1" applyBorder="1"/>
    <xf numFmtId="169" fontId="0" fillId="0" borderId="12" xfId="0" applyNumberFormat="1" applyFill="1" applyBorder="1"/>
    <xf numFmtId="3" fontId="5" fillId="0" borderId="10" xfId="0" applyNumberFormat="1" applyFont="1" applyFill="1" applyBorder="1"/>
    <xf numFmtId="3" fontId="5" fillId="0" borderId="12" xfId="0" applyNumberFormat="1" applyFont="1" applyFill="1" applyBorder="1"/>
    <xf numFmtId="0" fontId="0" fillId="0" borderId="6" xfId="0" applyFill="1" applyBorder="1"/>
    <xf numFmtId="3" fontId="0" fillId="0" borderId="23" xfId="0" applyNumberFormat="1" applyFill="1" applyBorder="1"/>
    <xf numFmtId="0" fontId="0" fillId="43" borderId="0" xfId="0" applyFill="1"/>
    <xf numFmtId="0" fontId="0" fillId="44" borderId="0" xfId="0" applyFill="1"/>
    <xf numFmtId="182" fontId="0" fillId="0" borderId="10" xfId="0" applyNumberFormat="1" applyFill="1" applyBorder="1" applyAlignment="1">
      <alignment horizontal="center"/>
    </xf>
    <xf numFmtId="169" fontId="0" fillId="0" borderId="12" xfId="0" applyNumberFormat="1" applyFill="1" applyBorder="1" applyAlignment="1">
      <alignment horizontal="center"/>
    </xf>
    <xf numFmtId="182" fontId="0" fillId="0" borderId="12" xfId="0" applyNumberFormat="1" applyFill="1" applyBorder="1" applyAlignment="1">
      <alignment horizontal="center"/>
    </xf>
    <xf numFmtId="0" fontId="8" fillId="0" borderId="35" xfId="0" applyFont="1" applyFill="1" applyBorder="1" applyAlignment="1">
      <alignment horizontal="center" wrapText="1"/>
    </xf>
    <xf numFmtId="169" fontId="0" fillId="0" borderId="0" xfId="0" applyNumberFormat="1" applyFill="1" applyBorder="1" applyAlignment="1">
      <alignment horizontal="center"/>
    </xf>
    <xf numFmtId="182" fontId="0" fillId="0" borderId="0" xfId="0" applyNumberFormat="1" applyFill="1" applyBorder="1" applyAlignment="1">
      <alignment horizontal="center"/>
    </xf>
    <xf numFmtId="3" fontId="5" fillId="0" borderId="0" xfId="0" applyNumberFormat="1" applyFont="1" applyFill="1" applyBorder="1"/>
    <xf numFmtId="0" fontId="6" fillId="44" borderId="0" xfId="0" applyFont="1" applyFill="1"/>
    <xf numFmtId="0" fontId="6" fillId="43" borderId="0" xfId="0" applyFont="1" applyFill="1"/>
    <xf numFmtId="2" fontId="0" fillId="0" borderId="10" xfId="0" applyNumberFormat="1" applyFill="1" applyBorder="1"/>
    <xf numFmtId="2" fontId="0" fillId="0" borderId="12" xfId="0" applyNumberFormat="1" applyFill="1" applyBorder="1"/>
    <xf numFmtId="3" fontId="5" fillId="0" borderId="10" xfId="0" applyNumberFormat="1" applyFont="1" applyBorder="1"/>
    <xf numFmtId="3" fontId="5" fillId="0" borderId="12" xfId="0" applyNumberFormat="1" applyFont="1" applyBorder="1"/>
    <xf numFmtId="1" fontId="0" fillId="0" borderId="6" xfId="0" applyNumberFormat="1" applyFill="1" applyBorder="1"/>
    <xf numFmtId="185" fontId="5" fillId="0" borderId="22" xfId="2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169" fontId="8" fillId="10" borderId="32" xfId="2" applyNumberFormat="1" applyFont="1" applyFill="1" applyBorder="1" applyAlignment="1">
      <alignment horizontal="center"/>
    </xf>
    <xf numFmtId="0" fontId="3" fillId="15" borderId="0" xfId="0" applyFont="1" applyFill="1" applyAlignment="1">
      <alignment wrapText="1"/>
    </xf>
    <xf numFmtId="0" fontId="3" fillId="15" borderId="0" xfId="0" applyFont="1" applyFill="1" applyAlignment="1">
      <alignment horizontal="center" wrapText="1"/>
    </xf>
    <xf numFmtId="180" fontId="3" fillId="15" borderId="0" xfId="0" applyNumberFormat="1" applyFont="1" applyFill="1" applyAlignment="1">
      <alignment horizontal="center" wrapText="1"/>
    </xf>
    <xf numFmtId="169" fontId="0" fillId="46" borderId="0" xfId="0" applyNumberFormat="1" applyFill="1"/>
    <xf numFmtId="173" fontId="5" fillId="8" borderId="32" xfId="10" applyNumberFormat="1" applyFont="1" applyFill="1" applyBorder="1" applyAlignment="1"/>
    <xf numFmtId="173" fontId="8" fillId="8" borderId="32" xfId="10" applyNumberFormat="1" applyFont="1" applyFill="1" applyBorder="1" applyAlignment="1">
      <alignment horizontal="right"/>
    </xf>
    <xf numFmtId="180" fontId="5" fillId="8" borderId="31" xfId="0" applyNumberFormat="1" applyFont="1" applyFill="1" applyBorder="1"/>
    <xf numFmtId="0" fontId="0" fillId="16" borderId="27" xfId="0" applyFill="1" applyBorder="1" applyAlignment="1">
      <alignment horizontal="right"/>
    </xf>
    <xf numFmtId="0" fontId="0" fillId="45" borderId="56" xfId="0" applyFill="1" applyBorder="1"/>
    <xf numFmtId="182" fontId="0" fillId="45" borderId="57" xfId="0" applyNumberFormat="1" applyFill="1" applyBorder="1"/>
    <xf numFmtId="0" fontId="0" fillId="16" borderId="56" xfId="0" applyFill="1" applyBorder="1" applyAlignment="1">
      <alignment horizontal="right"/>
    </xf>
    <xf numFmtId="175" fontId="0" fillId="47" borderId="57" xfId="0" applyNumberFormat="1" applyFill="1" applyBorder="1" applyAlignment="1">
      <alignment horizontal="center"/>
    </xf>
    <xf numFmtId="175" fontId="0" fillId="47" borderId="28" xfId="0" applyNumberFormat="1" applyFill="1" applyBorder="1" applyAlignment="1">
      <alignment horizontal="center"/>
    </xf>
    <xf numFmtId="0" fontId="0" fillId="16" borderId="29" xfId="0" applyFill="1" applyBorder="1" applyAlignment="1">
      <alignment horizontal="right"/>
    </xf>
    <xf numFmtId="175" fontId="0" fillId="47" borderId="30" xfId="0" applyNumberFormat="1" applyFill="1" applyBorder="1" applyAlignment="1">
      <alignment horizontal="center"/>
    </xf>
    <xf numFmtId="0" fontId="8" fillId="48" borderId="32" xfId="0" applyFont="1" applyFill="1" applyBorder="1" applyAlignment="1">
      <alignment horizontal="right"/>
    </xf>
    <xf numFmtId="10" fontId="8" fillId="48" borderId="32" xfId="2" applyNumberFormat="1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 wrapText="1"/>
    </xf>
    <xf numFmtId="3" fontId="0" fillId="9" borderId="0" xfId="0" applyNumberFormat="1" applyFill="1"/>
    <xf numFmtId="3" fontId="5" fillId="9" borderId="24" xfId="0" applyNumberFormat="1" applyFont="1" applyFill="1" applyBorder="1" applyAlignment="1">
      <alignment horizontal="center" wrapText="1"/>
    </xf>
    <xf numFmtId="3" fontId="0" fillId="9" borderId="0" xfId="0" applyNumberFormat="1" applyFill="1" applyBorder="1"/>
    <xf numFmtId="168" fontId="0" fillId="0" borderId="0" xfId="0" applyNumberFormat="1"/>
    <xf numFmtId="3" fontId="5" fillId="0" borderId="22" xfId="0" applyNumberFormat="1" applyFont="1" applyBorder="1"/>
    <xf numFmtId="3" fontId="5" fillId="0" borderId="0" xfId="0" applyNumberFormat="1" applyFont="1" applyBorder="1"/>
    <xf numFmtId="2" fontId="11" fillId="0" borderId="59" xfId="3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wrapText="1"/>
    </xf>
    <xf numFmtId="2" fontId="0" fillId="0" borderId="27" xfId="0" applyNumberFormat="1" applyFill="1" applyBorder="1"/>
    <xf numFmtId="2" fontId="0" fillId="0" borderId="28" xfId="0" applyNumberFormat="1" applyFill="1" applyBorder="1"/>
    <xf numFmtId="2" fontId="0" fillId="0" borderId="29" xfId="0" applyNumberFormat="1" applyFill="1" applyBorder="1"/>
    <xf numFmtId="2" fontId="0" fillId="0" borderId="30" xfId="0" applyNumberFormat="1" applyFill="1" applyBorder="1"/>
    <xf numFmtId="15" fontId="22" fillId="4" borderId="6" xfId="4" applyNumberFormat="1" applyFont="1" applyFill="1" applyBorder="1" applyAlignment="1">
      <alignment horizontal="center"/>
    </xf>
    <xf numFmtId="15" fontId="22" fillId="4" borderId="7" xfId="4" applyNumberFormat="1" applyFont="1" applyFill="1" applyBorder="1" applyAlignment="1">
      <alignment horizontal="center"/>
    </xf>
    <xf numFmtId="6" fontId="22" fillId="4" borderId="23" xfId="4" applyNumberFormat="1" applyFont="1" applyFill="1" applyBorder="1" applyAlignment="1">
      <alignment horizontal="center"/>
    </xf>
    <xf numFmtId="3" fontId="14" fillId="0" borderId="58" xfId="3" applyNumberFormat="1" applyFont="1" applyFill="1" applyBorder="1" applyAlignment="1">
      <alignment horizontal="center"/>
    </xf>
    <xf numFmtId="3" fontId="8" fillId="50" borderId="63" xfId="3" applyNumberFormat="1" applyFont="1" applyFill="1" applyBorder="1" applyAlignment="1">
      <alignment horizontal="center"/>
    </xf>
    <xf numFmtId="3" fontId="8" fillId="50" borderId="53" xfId="3" applyNumberFormat="1" applyFont="1" applyFill="1" applyBorder="1" applyAlignment="1">
      <alignment horizontal="center"/>
    </xf>
    <xf numFmtId="3" fontId="8" fillId="50" borderId="54" xfId="3" applyNumberFormat="1" applyFont="1" applyFill="1" applyBorder="1" applyAlignment="1">
      <alignment horizontal="center"/>
    </xf>
    <xf numFmtId="9" fontId="8" fillId="0" borderId="64" xfId="2" applyFont="1" applyFill="1" applyBorder="1" applyAlignment="1">
      <alignment horizontal="center"/>
    </xf>
    <xf numFmtId="9" fontId="8" fillId="0" borderId="55" xfId="2" applyFont="1" applyFill="1" applyBorder="1" applyAlignment="1">
      <alignment horizontal="center"/>
    </xf>
    <xf numFmtId="2" fontId="11" fillId="48" borderId="59" xfId="3" applyNumberFormat="1" applyFont="1" applyFill="1" applyBorder="1" applyAlignment="1">
      <alignment horizontal="center"/>
    </xf>
    <xf numFmtId="2" fontId="11" fillId="51" borderId="59" xfId="3" applyNumberFormat="1" applyFont="1" applyFill="1" applyBorder="1" applyAlignment="1">
      <alignment horizontal="center"/>
    </xf>
    <xf numFmtId="2" fontId="11" fillId="49" borderId="59" xfId="3" applyNumberFormat="1" applyFont="1" applyFill="1" applyBorder="1" applyAlignment="1">
      <alignment horizontal="center"/>
    </xf>
    <xf numFmtId="2" fontId="11" fillId="49" borderId="60" xfId="3" applyNumberFormat="1" applyFont="1" applyFill="1" applyBorder="1" applyAlignment="1">
      <alignment horizontal="center"/>
    </xf>
    <xf numFmtId="2" fontId="11" fillId="48" borderId="14" xfId="3" applyNumberFormat="1" applyFont="1" applyFill="1" applyBorder="1" applyAlignment="1">
      <alignment horizontal="center"/>
    </xf>
    <xf numFmtId="2" fontId="11" fillId="48" borderId="55" xfId="3" applyNumberFormat="1" applyFont="1" applyFill="1" applyBorder="1" applyAlignment="1">
      <alignment horizontal="center"/>
    </xf>
    <xf numFmtId="2" fontId="11" fillId="51" borderId="14" xfId="3" applyNumberFormat="1" applyFont="1" applyFill="1" applyBorder="1" applyAlignment="1">
      <alignment horizontal="center"/>
    </xf>
    <xf numFmtId="2" fontId="14" fillId="0" borderId="15" xfId="3" applyNumberFormat="1" applyFont="1" applyFill="1" applyBorder="1" applyAlignment="1">
      <alignment horizontal="center"/>
    </xf>
    <xf numFmtId="2" fontId="14" fillId="0" borderId="18" xfId="3" applyNumberFormat="1" applyFont="1" applyFill="1" applyBorder="1" applyAlignment="1">
      <alignment horizontal="center"/>
    </xf>
    <xf numFmtId="2" fontId="14" fillId="0" borderId="65" xfId="3" applyNumberFormat="1" applyFont="1" applyFill="1" applyBorder="1" applyAlignment="1">
      <alignment horizontal="center"/>
    </xf>
    <xf numFmtId="3" fontId="8" fillId="50" borderId="66" xfId="3" applyNumberFormat="1" applyFont="1" applyFill="1" applyBorder="1" applyAlignment="1">
      <alignment horizontal="center"/>
    </xf>
    <xf numFmtId="2" fontId="14" fillId="0" borderId="32" xfId="10" applyNumberFormat="1" applyFont="1" applyBorder="1" applyAlignment="1">
      <alignment vertical="center"/>
    </xf>
    <xf numFmtId="15" fontId="7" fillId="4" borderId="2" xfId="4" applyNumberFormat="1" applyFont="1" applyFill="1" applyBorder="1" applyAlignment="1">
      <alignment horizontal="right" indent="1"/>
    </xf>
    <xf numFmtId="0" fontId="14" fillId="16" borderId="32" xfId="0" applyFont="1" applyFill="1" applyBorder="1" applyAlignment="1">
      <alignment horizontal="right"/>
    </xf>
    <xf numFmtId="0" fontId="0" fillId="0" borderId="35" xfId="0" applyBorder="1"/>
    <xf numFmtId="0" fontId="0" fillId="0" borderId="35" xfId="0" applyFill="1" applyBorder="1"/>
    <xf numFmtId="2" fontId="0" fillId="0" borderId="35" xfId="0" applyNumberFormat="1" applyFill="1" applyBorder="1"/>
    <xf numFmtId="3" fontId="0" fillId="0" borderId="35" xfId="0" applyNumberFormat="1" applyFill="1" applyBorder="1"/>
    <xf numFmtId="169" fontId="0" fillId="0" borderId="35" xfId="0" applyNumberFormat="1" applyFill="1" applyBorder="1"/>
    <xf numFmtId="3" fontId="0" fillId="9" borderId="35" xfId="0" applyNumberFormat="1" applyFill="1" applyBorder="1"/>
    <xf numFmtId="2" fontId="14" fillId="0" borderId="35" xfId="0" applyNumberFormat="1" applyFont="1" applyFill="1" applyBorder="1"/>
    <xf numFmtId="184" fontId="5" fillId="10" borderId="22" xfId="1" applyNumberFormat="1" applyFont="1" applyFill="1" applyBorder="1" applyAlignment="1">
      <alignment horizontal="center"/>
    </xf>
    <xf numFmtId="3" fontId="8" fillId="50" borderId="67" xfId="3" applyNumberFormat="1" applyFont="1" applyFill="1" applyBorder="1" applyAlignment="1">
      <alignment horizontal="center"/>
    </xf>
    <xf numFmtId="180" fontId="5" fillId="48" borderId="48" xfId="0" applyNumberFormat="1" applyFont="1" applyFill="1" applyBorder="1"/>
    <xf numFmtId="3" fontId="14" fillId="0" borderId="68" xfId="3" applyNumberFormat="1" applyFont="1" applyFill="1" applyBorder="1" applyAlignment="1">
      <alignment horizontal="center"/>
    </xf>
    <xf numFmtId="3" fontId="14" fillId="0" borderId="16" xfId="3" applyNumberFormat="1" applyFont="1" applyFill="1" applyBorder="1" applyAlignment="1">
      <alignment horizontal="center"/>
    </xf>
    <xf numFmtId="3" fontId="14" fillId="0" borderId="19" xfId="3" applyNumberFormat="1" applyFont="1" applyFill="1" applyBorder="1" applyAlignment="1">
      <alignment horizontal="center"/>
    </xf>
    <xf numFmtId="0" fontId="0" fillId="10" borderId="0" xfId="0" applyFill="1" applyBorder="1"/>
    <xf numFmtId="0" fontId="0" fillId="10" borderId="0" xfId="0" applyFill="1" applyAlignment="1">
      <alignment horizontal="center"/>
    </xf>
    <xf numFmtId="184" fontId="0" fillId="10" borderId="0" xfId="0" applyNumberFormat="1" applyFill="1"/>
    <xf numFmtId="0" fontId="0" fillId="52" borderId="0" xfId="0" applyFill="1"/>
    <xf numFmtId="0" fontId="18" fillId="52" borderId="0" xfId="0" applyFont="1" applyFill="1" applyAlignment="1">
      <alignment horizontal="center"/>
    </xf>
    <xf numFmtId="0" fontId="21" fillId="52" borderId="0" xfId="0" applyFont="1" applyFill="1" applyAlignment="1">
      <alignment horizontal="center"/>
    </xf>
    <xf numFmtId="0" fontId="18" fillId="52" borderId="0" xfId="0" applyFont="1" applyFill="1" applyBorder="1" applyAlignment="1">
      <alignment horizontal="center"/>
    </xf>
    <xf numFmtId="0" fontId="14" fillId="52" borderId="0" xfId="0" applyFont="1" applyFill="1"/>
    <xf numFmtId="0" fontId="5" fillId="52" borderId="0" xfId="0" applyFont="1" applyFill="1" applyAlignment="1">
      <alignment horizontal="center"/>
    </xf>
    <xf numFmtId="0" fontId="5" fillId="52" borderId="0" xfId="0" applyFont="1" applyFill="1" applyAlignment="1">
      <alignment horizontal="center" wrapText="1"/>
    </xf>
    <xf numFmtId="0" fontId="5" fillId="52" borderId="22" xfId="0" applyFont="1" applyFill="1" applyBorder="1" applyAlignment="1">
      <alignment horizontal="center" wrapText="1"/>
    </xf>
    <xf numFmtId="0" fontId="8" fillId="52" borderId="0" xfId="0" applyFont="1" applyFill="1" applyAlignment="1">
      <alignment horizontal="center" wrapText="1"/>
    </xf>
    <xf numFmtId="0" fontId="5" fillId="52" borderId="0" xfId="0" applyFont="1" applyFill="1" applyBorder="1" applyAlignment="1">
      <alignment horizontal="center" wrapText="1"/>
    </xf>
    <xf numFmtId="0" fontId="0" fillId="52" borderId="0" xfId="0" applyFill="1" applyBorder="1"/>
    <xf numFmtId="0" fontId="0" fillId="52" borderId="0" xfId="0" applyFill="1" applyAlignment="1">
      <alignment horizontal="center"/>
    </xf>
    <xf numFmtId="0" fontId="8" fillId="52" borderId="0" xfId="0" applyFont="1" applyFill="1"/>
    <xf numFmtId="2" fontId="14" fillId="52" borderId="0" xfId="3" applyNumberFormat="1" applyFont="1" applyFill="1" applyBorder="1" applyAlignment="1">
      <alignment horizontal="right"/>
    </xf>
    <xf numFmtId="3" fontId="14" fillId="52" borderId="0" xfId="0" applyNumberFormat="1" applyFont="1" applyFill="1"/>
    <xf numFmtId="2" fontId="14" fillId="52" borderId="11" xfId="0" applyNumberFormat="1" applyFont="1" applyFill="1" applyBorder="1"/>
    <xf numFmtId="3" fontId="8" fillId="52" borderId="11" xfId="0" applyNumberFormat="1" applyFont="1" applyFill="1" applyBorder="1"/>
    <xf numFmtId="2" fontId="14" fillId="52" borderId="0" xfId="0" applyNumberFormat="1" applyFont="1" applyFill="1"/>
    <xf numFmtId="0" fontId="8" fillId="52" borderId="0" xfId="0" applyFont="1" applyFill="1" applyAlignment="1">
      <alignment horizontal="right"/>
    </xf>
    <xf numFmtId="0" fontId="14" fillId="52" borderId="0" xfId="0" applyFont="1" applyFill="1" applyAlignment="1">
      <alignment horizontal="center"/>
    </xf>
    <xf numFmtId="0" fontId="14" fillId="52" borderId="0" xfId="0" applyFont="1" applyFill="1" applyAlignment="1">
      <alignment horizontal="right"/>
    </xf>
    <xf numFmtId="184" fontId="0" fillId="52" borderId="0" xfId="1" applyNumberFormat="1" applyFont="1" applyFill="1"/>
    <xf numFmtId="184" fontId="0" fillId="52" borderId="0" xfId="0" applyNumberFormat="1" applyFill="1"/>
    <xf numFmtId="3" fontId="0" fillId="52" borderId="0" xfId="0" applyNumberFormat="1" applyFill="1"/>
    <xf numFmtId="0" fontId="17" fillId="52" borderId="0" xfId="0" applyFont="1" applyFill="1" applyAlignment="1">
      <alignment horizontal="center"/>
    </xf>
    <xf numFmtId="3" fontId="19" fillId="52" borderId="0" xfId="0" applyNumberFormat="1" applyFont="1" applyFill="1"/>
    <xf numFmtId="0" fontId="19" fillId="52" borderId="0" xfId="0" applyFont="1" applyFill="1"/>
    <xf numFmtId="2" fontId="14" fillId="52" borderId="20" xfId="0" applyNumberFormat="1" applyFont="1" applyFill="1" applyBorder="1"/>
    <xf numFmtId="3" fontId="8" fillId="52" borderId="20" xfId="0" applyNumberFormat="1" applyFont="1" applyFill="1" applyBorder="1"/>
    <xf numFmtId="0" fontId="24" fillId="52" borderId="0" xfId="0" applyFont="1" applyFill="1" applyAlignment="1">
      <alignment horizontal="center"/>
    </xf>
    <xf numFmtId="3" fontId="14" fillId="52" borderId="0" xfId="0" applyNumberFormat="1" applyFont="1" applyFill="1" applyAlignment="1">
      <alignment horizontal="right"/>
    </xf>
    <xf numFmtId="0" fontId="5" fillId="10" borderId="0" xfId="0" applyFont="1" applyFill="1"/>
    <xf numFmtId="2" fontId="1" fillId="10" borderId="0" xfId="4" applyNumberFormat="1" applyFill="1"/>
    <xf numFmtId="0" fontId="1" fillId="10" borderId="0" xfId="4" applyFill="1"/>
    <xf numFmtId="0" fontId="1" fillId="10" borderId="0" xfId="4" applyFill="1" applyAlignment="1">
      <alignment horizontal="center"/>
    </xf>
    <xf numFmtId="166" fontId="9" fillId="10" borderId="4" xfId="4" applyNumberFormat="1" applyFont="1" applyFill="1" applyBorder="1"/>
    <xf numFmtId="166" fontId="9" fillId="10" borderId="5" xfId="4" applyNumberFormat="1" applyFont="1" applyFill="1" applyBorder="1"/>
    <xf numFmtId="0" fontId="0" fillId="10" borderId="5" xfId="0" applyFill="1" applyBorder="1"/>
    <xf numFmtId="0" fontId="10" fillId="10" borderId="5" xfId="4" applyFont="1" applyFill="1" applyBorder="1"/>
    <xf numFmtId="0" fontId="1" fillId="10" borderId="10" xfId="4" applyFill="1" applyBorder="1"/>
    <xf numFmtId="0" fontId="1" fillId="10" borderId="0" xfId="4" applyFill="1" applyBorder="1"/>
    <xf numFmtId="0" fontId="12" fillId="10" borderId="0" xfId="0" applyFont="1" applyFill="1" applyBorder="1" applyAlignment="1">
      <alignment horizontal="center"/>
    </xf>
    <xf numFmtId="0" fontId="12" fillId="10" borderId="0" xfId="4" applyFont="1" applyFill="1" applyBorder="1" applyAlignment="1">
      <alignment horizontal="center"/>
    </xf>
    <xf numFmtId="0" fontId="1" fillId="10" borderId="0" xfId="4" applyFill="1" applyBorder="1" applyAlignment="1">
      <alignment horizontal="center"/>
    </xf>
    <xf numFmtId="0" fontId="1" fillId="10" borderId="12" xfId="4" applyFill="1" applyBorder="1"/>
    <xf numFmtId="0" fontId="25" fillId="10" borderId="0" xfId="0" applyFont="1" applyFill="1" applyAlignment="1">
      <alignment horizontal="right"/>
    </xf>
    <xf numFmtId="0" fontId="25" fillId="10" borderId="0" xfId="0" applyFont="1" applyFill="1"/>
    <xf numFmtId="167" fontId="25" fillId="10" borderId="0" xfId="0" applyNumberFormat="1" applyFont="1" applyFill="1"/>
    <xf numFmtId="3" fontId="25" fillId="10" borderId="0" xfId="0" applyNumberFormat="1" applyFont="1" applyFill="1" applyAlignment="1">
      <alignment horizontal="right"/>
    </xf>
    <xf numFmtId="184" fontId="5" fillId="10" borderId="0" xfId="0" applyNumberFormat="1" applyFont="1" applyFill="1"/>
    <xf numFmtId="9" fontId="8" fillId="10" borderId="3" xfId="2" applyFont="1" applyFill="1" applyBorder="1" applyAlignment="1" applyProtection="1">
      <alignment horizontal="center"/>
      <protection locked="0"/>
    </xf>
    <xf numFmtId="3" fontId="8" fillId="10" borderId="3" xfId="3" applyNumberFormat="1" applyFont="1" applyFill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168" fontId="14" fillId="0" borderId="0" xfId="9" applyNumberFormat="1" applyFont="1" applyFill="1"/>
    <xf numFmtId="4" fontId="14" fillId="0" borderId="0" xfId="0" applyNumberFormat="1" applyFont="1" applyFill="1"/>
    <xf numFmtId="0" fontId="14" fillId="10" borderId="0" xfId="0" applyFont="1" applyFill="1" applyBorder="1"/>
    <xf numFmtId="0" fontId="0" fillId="10" borderId="0" xfId="0" applyFill="1" applyAlignment="1">
      <alignment horizontal="right"/>
    </xf>
    <xf numFmtId="181" fontId="0" fillId="10" borderId="0" xfId="0" applyNumberFormat="1" applyFill="1"/>
    <xf numFmtId="180" fontId="0" fillId="10" borderId="0" xfId="0" applyNumberFormat="1" applyFont="1" applyFill="1"/>
    <xf numFmtId="9" fontId="0" fillId="10" borderId="0" xfId="0" applyNumberFormat="1" applyFill="1"/>
    <xf numFmtId="180" fontId="0" fillId="10" borderId="0" xfId="0" applyNumberFormat="1" applyFill="1"/>
    <xf numFmtId="0" fontId="57" fillId="10" borderId="0" xfId="0" applyFont="1" applyFill="1"/>
    <xf numFmtId="181" fontId="5" fillId="10" borderId="0" xfId="0" applyNumberFormat="1" applyFont="1" applyFill="1"/>
    <xf numFmtId="0" fontId="0" fillId="10" borderId="0" xfId="0" applyFill="1" applyAlignment="1">
      <alignment wrapText="1"/>
    </xf>
    <xf numFmtId="180" fontId="5" fillId="10" borderId="0" xfId="0" applyNumberFormat="1" applyFont="1" applyFill="1" applyBorder="1"/>
    <xf numFmtId="0" fontId="5" fillId="10" borderId="0" xfId="0" applyFont="1" applyFill="1" applyBorder="1" applyAlignment="1">
      <alignment horizontal="right"/>
    </xf>
    <xf numFmtId="3" fontId="58" fillId="10" borderId="11" xfId="0" applyNumberFormat="1" applyFont="1" applyFill="1" applyBorder="1" applyAlignment="1" applyProtection="1">
      <alignment horizontal="right" vertical="center"/>
      <protection locked="0"/>
    </xf>
    <xf numFmtId="3" fontId="58" fillId="10" borderId="20" xfId="0" applyNumberFormat="1" applyFont="1" applyFill="1" applyBorder="1" applyAlignment="1" applyProtection="1">
      <alignment horizontal="right" vertical="center"/>
      <protection locked="0"/>
    </xf>
    <xf numFmtId="0" fontId="26" fillId="10" borderId="0" xfId="0" applyFont="1" applyFill="1"/>
    <xf numFmtId="2" fontId="0" fillId="10" borderId="0" xfId="0" applyNumberFormat="1" applyFill="1"/>
    <xf numFmtId="2" fontId="0" fillId="10" borderId="0" xfId="0" applyNumberFormat="1" applyFill="1" applyBorder="1"/>
    <xf numFmtId="0" fontId="5" fillId="10" borderId="35" xfId="0" applyFont="1" applyFill="1" applyBorder="1" applyAlignment="1">
      <alignment horizontal="center" wrapText="1"/>
    </xf>
    <xf numFmtId="15" fontId="59" fillId="4" borderId="5" xfId="4" applyNumberFormat="1" applyFont="1" applyFill="1" applyBorder="1" applyAlignment="1">
      <alignment horizontal="center" wrapText="1"/>
    </xf>
    <xf numFmtId="15" fontId="59" fillId="4" borderId="0" xfId="4" applyNumberFormat="1" applyFont="1" applyFill="1" applyBorder="1" applyAlignment="1">
      <alignment horizontal="center" wrapText="1"/>
    </xf>
    <xf numFmtId="15" fontId="13" fillId="4" borderId="5" xfId="4" applyNumberFormat="1" applyFont="1" applyFill="1" applyBorder="1" applyAlignment="1">
      <alignment horizontal="center" wrapText="1"/>
    </xf>
    <xf numFmtId="15" fontId="13" fillId="4" borderId="0" xfId="4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24" fillId="10" borderId="0" xfId="10" applyFont="1" applyFill="1" applyAlignment="1">
      <alignment horizontal="right" wrapText="1"/>
    </xf>
    <xf numFmtId="0" fontId="24" fillId="10" borderId="28" xfId="10" applyFont="1" applyFill="1" applyBorder="1" applyAlignment="1">
      <alignment horizontal="right" wrapText="1"/>
    </xf>
    <xf numFmtId="0" fontId="24" fillId="10" borderId="35" xfId="10" applyFont="1" applyFill="1" applyBorder="1" applyAlignment="1">
      <alignment horizontal="right" wrapText="1"/>
    </xf>
    <xf numFmtId="0" fontId="24" fillId="10" borderId="30" xfId="10" applyFont="1" applyFill="1" applyBorder="1" applyAlignment="1">
      <alignment horizontal="right" wrapText="1"/>
    </xf>
    <xf numFmtId="0" fontId="6" fillId="12" borderId="25" xfId="10" applyFont="1" applyFill="1" applyBorder="1" applyAlignment="1">
      <alignment horizontal="center"/>
    </xf>
    <xf numFmtId="0" fontId="6" fillId="12" borderId="24" xfId="10" applyFont="1" applyFill="1" applyBorder="1" applyAlignment="1">
      <alignment horizontal="center"/>
    </xf>
    <xf numFmtId="0" fontId="6" fillId="12" borderId="26" xfId="10" applyFont="1" applyFill="1" applyBorder="1" applyAlignment="1">
      <alignment horizontal="center"/>
    </xf>
    <xf numFmtId="0" fontId="6" fillId="12" borderId="32" xfId="10" applyFont="1" applyFill="1" applyBorder="1" applyAlignment="1">
      <alignment horizontal="right"/>
    </xf>
    <xf numFmtId="0" fontId="6" fillId="12" borderId="45" xfId="0" applyFont="1" applyFill="1" applyBorder="1" applyAlignment="1">
      <alignment horizontal="center" vertical="center" textRotation="90"/>
    </xf>
    <xf numFmtId="0" fontId="6" fillId="12" borderId="28" xfId="0" applyFont="1" applyFill="1" applyBorder="1" applyAlignment="1">
      <alignment horizontal="center" vertical="center" textRotation="90"/>
    </xf>
    <xf numFmtId="0" fontId="3" fillId="14" borderId="25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6" fillId="12" borderId="33" xfId="10" applyFont="1" applyFill="1" applyBorder="1" applyAlignment="1">
      <alignment horizontal="right"/>
    </xf>
    <xf numFmtId="0" fontId="14" fillId="10" borderId="32" xfId="10" applyFont="1" applyFill="1" applyBorder="1" applyAlignment="1">
      <alignment horizontal="right"/>
    </xf>
    <xf numFmtId="0" fontId="6" fillId="12" borderId="25" xfId="10" applyFont="1" applyFill="1" applyBorder="1" applyAlignment="1">
      <alignment horizontal="left" vertical="center"/>
    </xf>
    <xf numFmtId="0" fontId="6" fillId="12" borderId="26" xfId="10" applyFont="1" applyFill="1" applyBorder="1" applyAlignment="1">
      <alignment horizontal="left" vertical="center"/>
    </xf>
    <xf numFmtId="180" fontId="0" fillId="10" borderId="0" xfId="0" applyNumberFormat="1" applyFill="1" applyBorder="1" applyAlignment="1">
      <alignment horizontal="center"/>
    </xf>
    <xf numFmtId="180" fontId="0" fillId="10" borderId="35" xfId="0" applyNumberFormat="1" applyFill="1" applyBorder="1" applyAlignment="1">
      <alignment horizontal="center"/>
    </xf>
  </cellXfs>
  <cellStyles count="109">
    <cellStyle name="20% - Accent1" xfId="13" xr:uid="{00000000-0005-0000-0000-000000000000}"/>
    <cellStyle name="20% - Accent2" xfId="14" xr:uid="{00000000-0005-0000-0000-000001000000}"/>
    <cellStyle name="20% - Accent3" xfId="15" xr:uid="{00000000-0005-0000-0000-000002000000}"/>
    <cellStyle name="20% - Accent4" xfId="16" xr:uid="{00000000-0005-0000-0000-000003000000}"/>
    <cellStyle name="20% - Accent5" xfId="17" xr:uid="{00000000-0005-0000-0000-000004000000}"/>
    <cellStyle name="20% - Accent6" xfId="18" xr:uid="{00000000-0005-0000-0000-000005000000}"/>
    <cellStyle name="40% - Accent1" xfId="19" xr:uid="{00000000-0005-0000-0000-000006000000}"/>
    <cellStyle name="40% - Accent2" xfId="20" xr:uid="{00000000-0005-0000-0000-000007000000}"/>
    <cellStyle name="40% - Accent3" xfId="21" xr:uid="{00000000-0005-0000-0000-000008000000}"/>
    <cellStyle name="40% - Accent4" xfId="22" xr:uid="{00000000-0005-0000-0000-000009000000}"/>
    <cellStyle name="40% - Accent5" xfId="23" xr:uid="{00000000-0005-0000-0000-00000A000000}"/>
    <cellStyle name="40% - Accent6" xfId="24" xr:uid="{00000000-0005-0000-0000-00000B000000}"/>
    <cellStyle name="60% - Accent1" xfId="25" xr:uid="{00000000-0005-0000-0000-00000C000000}"/>
    <cellStyle name="60% - Accent2" xfId="26" xr:uid="{00000000-0005-0000-0000-00000D000000}"/>
    <cellStyle name="60% - Accent3" xfId="27" xr:uid="{00000000-0005-0000-0000-00000E000000}"/>
    <cellStyle name="60% - Accent4" xfId="28" xr:uid="{00000000-0005-0000-0000-00000F000000}"/>
    <cellStyle name="60% - Accent5" xfId="29" xr:uid="{00000000-0005-0000-0000-000010000000}"/>
    <cellStyle name="60% - Accent6" xfId="30" xr:uid="{00000000-0005-0000-0000-000011000000}"/>
    <cellStyle name="60% - Colore 2 2" xfId="7" xr:uid="{00000000-0005-0000-0000-000012000000}"/>
    <cellStyle name="Accent1" xfId="31" xr:uid="{00000000-0005-0000-0000-000013000000}"/>
    <cellStyle name="Accent2" xfId="32" xr:uid="{00000000-0005-0000-0000-000014000000}"/>
    <cellStyle name="Accent3" xfId="33" xr:uid="{00000000-0005-0000-0000-000015000000}"/>
    <cellStyle name="Accent4" xfId="34" xr:uid="{00000000-0005-0000-0000-000016000000}"/>
    <cellStyle name="Accent5" xfId="35" xr:uid="{00000000-0005-0000-0000-000017000000}"/>
    <cellStyle name="Accent6" xfId="36" xr:uid="{00000000-0005-0000-0000-000018000000}"/>
    <cellStyle name="Bad" xfId="37" xr:uid="{00000000-0005-0000-0000-000019000000}"/>
    <cellStyle name="Berechnung" xfId="3" builtinId="22"/>
    <cellStyle name="Calculation" xfId="38" xr:uid="{00000000-0005-0000-0000-00001B000000}"/>
    <cellStyle name="Calculation 2" xfId="104" xr:uid="{00000000-0005-0000-0000-00001C000000}"/>
    <cellStyle name="Check Cell" xfId="39" xr:uid="{00000000-0005-0000-0000-00001D000000}"/>
    <cellStyle name="contentStyle" xfId="40" xr:uid="{00000000-0005-0000-0000-00001E000000}"/>
    <cellStyle name="dateStyle" xfId="41" xr:uid="{00000000-0005-0000-0000-00001F000000}"/>
    <cellStyle name="defaultNumberStyle" xfId="42" xr:uid="{00000000-0005-0000-0000-000020000000}"/>
    <cellStyle name="E Head0" xfId="43" xr:uid="{00000000-0005-0000-0000-000021000000}"/>
    <cellStyle name="E Head1" xfId="44" xr:uid="{00000000-0005-0000-0000-000022000000}"/>
    <cellStyle name="E Head2" xfId="45" xr:uid="{00000000-0005-0000-0000-000023000000}"/>
    <cellStyle name="E Normal" xfId="46" xr:uid="{00000000-0005-0000-0000-000024000000}"/>
    <cellStyle name="Euro" xfId="47" xr:uid="{00000000-0005-0000-0000-000026000000}"/>
    <cellStyle name="Euro 2" xfId="48" xr:uid="{00000000-0005-0000-0000-000027000000}"/>
    <cellStyle name="Explanatory Text" xfId="49" xr:uid="{00000000-0005-0000-0000-000028000000}"/>
    <cellStyle name="Good" xfId="50" xr:uid="{00000000-0005-0000-0000-000029000000}"/>
    <cellStyle name="headerStyle" xfId="51" xr:uid="{00000000-0005-0000-0000-00002A000000}"/>
    <cellStyle name="Heading 1" xfId="52" xr:uid="{00000000-0005-0000-0000-00002B000000}"/>
    <cellStyle name="Heading 2" xfId="53" xr:uid="{00000000-0005-0000-0000-00002C000000}"/>
    <cellStyle name="Heading 3" xfId="54" xr:uid="{00000000-0005-0000-0000-00002D000000}"/>
    <cellStyle name="Heading 3 2" xfId="55" xr:uid="{00000000-0005-0000-0000-00002E000000}"/>
    <cellStyle name="Heading 4" xfId="56" xr:uid="{00000000-0005-0000-0000-00002F000000}"/>
    <cellStyle name="headlineDateStyle" xfId="57" xr:uid="{00000000-0005-0000-0000-000030000000}"/>
    <cellStyle name="headlineDefaultNumberStyle" xfId="58" xr:uid="{00000000-0005-0000-0000-000031000000}"/>
    <cellStyle name="headlineNumberStyle" xfId="59" xr:uid="{00000000-0005-0000-0000-000032000000}"/>
    <cellStyle name="headlineStyle" xfId="60" xr:uid="{00000000-0005-0000-0000-000033000000}"/>
    <cellStyle name="Hyperlink 2" xfId="61" xr:uid="{00000000-0005-0000-0000-000034000000}"/>
    <cellStyle name="Input" xfId="62" xr:uid="{00000000-0005-0000-0000-000035000000}"/>
    <cellStyle name="Input 2" xfId="105" xr:uid="{00000000-0005-0000-0000-000036000000}"/>
    <cellStyle name="Komma" xfId="1" builtinId="3"/>
    <cellStyle name="Komma 2" xfId="63" xr:uid="{00000000-0005-0000-0000-000038000000}"/>
    <cellStyle name="Komma 2 2" xfId="64" xr:uid="{00000000-0005-0000-0000-000039000000}"/>
    <cellStyle name="Komma 3" xfId="65" xr:uid="{00000000-0005-0000-0000-00003A000000}"/>
    <cellStyle name="Komma 3 2" xfId="66" xr:uid="{00000000-0005-0000-0000-00003B000000}"/>
    <cellStyle name="Komma 4" xfId="9" xr:uid="{00000000-0005-0000-0000-00003C000000}"/>
    <cellStyle name="Linked Cell" xfId="67" xr:uid="{00000000-0005-0000-0000-00003D000000}"/>
    <cellStyle name="Migliaia 2" xfId="68" xr:uid="{00000000-0005-0000-0000-00003E000000}"/>
    <cellStyle name="Migliaia 3" xfId="8" xr:uid="{00000000-0005-0000-0000-00003F000000}"/>
    <cellStyle name="Migliaia 4 2" xfId="6" xr:uid="{00000000-0005-0000-0000-000040000000}"/>
    <cellStyle name="Migliaia 5" xfId="69" xr:uid="{00000000-0005-0000-0000-000041000000}"/>
    <cellStyle name="Normal 2" xfId="10" xr:uid="{00000000-0005-0000-0000-000042000000}"/>
    <cellStyle name="Normal_Sheet1" xfId="70" xr:uid="{00000000-0005-0000-0000-000043000000}"/>
    <cellStyle name="Normale 2" xfId="11" xr:uid="{00000000-0005-0000-0000-000044000000}"/>
    <cellStyle name="Normale 6 4" xfId="4" xr:uid="{00000000-0005-0000-0000-000045000000}"/>
    <cellStyle name="Note" xfId="71" xr:uid="{00000000-0005-0000-0000-000046000000}"/>
    <cellStyle name="Note 2" xfId="106" xr:uid="{00000000-0005-0000-0000-000047000000}"/>
    <cellStyle name="numberStyle" xfId="72" xr:uid="{00000000-0005-0000-0000-000048000000}"/>
    <cellStyle name="Output" xfId="73" xr:uid="{00000000-0005-0000-0000-000049000000}"/>
    <cellStyle name="Output 2" xfId="107" xr:uid="{00000000-0005-0000-0000-00004A000000}"/>
    <cellStyle name="Percentuale 2" xfId="12" xr:uid="{00000000-0005-0000-0000-00004B000000}"/>
    <cellStyle name="Percentuale 5 2" xfId="5" xr:uid="{00000000-0005-0000-0000-00004C000000}"/>
    <cellStyle name="Prozent" xfId="2" builtinId="5"/>
    <cellStyle name="Prozent 2" xfId="74" xr:uid="{00000000-0005-0000-0000-00004E000000}"/>
    <cellStyle name="Prozent 3" xfId="75" xr:uid="{00000000-0005-0000-0000-00004F000000}"/>
    <cellStyle name="Standard" xfId="0" builtinId="0"/>
    <cellStyle name="Standard 10" xfId="76" xr:uid="{00000000-0005-0000-0000-000051000000}"/>
    <cellStyle name="Standard 10 2 2 2" xfId="77" xr:uid="{00000000-0005-0000-0000-000052000000}"/>
    <cellStyle name="Standard 11" xfId="78" xr:uid="{00000000-0005-0000-0000-000053000000}"/>
    <cellStyle name="Standard 11 2" xfId="79" xr:uid="{00000000-0005-0000-0000-000054000000}"/>
    <cellStyle name="Standard 13" xfId="80" xr:uid="{00000000-0005-0000-0000-000055000000}"/>
    <cellStyle name="Standard 2" xfId="81" xr:uid="{00000000-0005-0000-0000-000056000000}"/>
    <cellStyle name="Standard 2 2" xfId="82" xr:uid="{00000000-0005-0000-0000-000057000000}"/>
    <cellStyle name="Standard 2 2 2" xfId="83" xr:uid="{00000000-0005-0000-0000-000058000000}"/>
    <cellStyle name="Standard 2 3" xfId="84" xr:uid="{00000000-0005-0000-0000-000059000000}"/>
    <cellStyle name="Standard 3" xfId="85" xr:uid="{00000000-0005-0000-0000-00005A000000}"/>
    <cellStyle name="Standard 3 2" xfId="86" xr:uid="{00000000-0005-0000-0000-00005B000000}"/>
    <cellStyle name="Standard 3_LTC-PnL" xfId="87" xr:uid="{00000000-0005-0000-0000-00005C000000}"/>
    <cellStyle name="Standard 4" xfId="88" xr:uid="{00000000-0005-0000-0000-00005D000000}"/>
    <cellStyle name="Standard 4 2" xfId="89" xr:uid="{00000000-0005-0000-0000-00005E000000}"/>
    <cellStyle name="Standard 5" xfId="90" xr:uid="{00000000-0005-0000-0000-00005F000000}"/>
    <cellStyle name="Standard 6" xfId="91" xr:uid="{00000000-0005-0000-0000-000060000000}"/>
    <cellStyle name="Standard 7" xfId="92" xr:uid="{00000000-0005-0000-0000-000061000000}"/>
    <cellStyle name="Standard 8" xfId="93" xr:uid="{00000000-0005-0000-0000-000062000000}"/>
    <cellStyle name="Standard 9" xfId="94" xr:uid="{00000000-0005-0000-0000-000063000000}"/>
    <cellStyle name="tariffHeadlineStyle" xfId="95" xr:uid="{00000000-0005-0000-0000-000064000000}"/>
    <cellStyle name="tariffStyle" xfId="96" xr:uid="{00000000-0005-0000-0000-000065000000}"/>
    <cellStyle name="Title" xfId="97" xr:uid="{00000000-0005-0000-0000-000066000000}"/>
    <cellStyle name="Total" xfId="98" xr:uid="{00000000-0005-0000-0000-000067000000}"/>
    <cellStyle name="Total 2" xfId="108" xr:uid="{00000000-0005-0000-0000-000068000000}"/>
    <cellStyle name="Überschrift 1 2" xfId="99" xr:uid="{00000000-0005-0000-0000-000069000000}"/>
    <cellStyle name="Überschrift 2 2" xfId="100" xr:uid="{00000000-0005-0000-0000-00006A000000}"/>
    <cellStyle name="Überschrift 5" xfId="101" xr:uid="{00000000-0005-0000-0000-00006B000000}"/>
    <cellStyle name="Undefiniert" xfId="102" xr:uid="{00000000-0005-0000-0000-00006C000000}"/>
    <cellStyle name="Warning Text" xfId="103" xr:uid="{00000000-0005-0000-0000-00006D000000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EB84"/>
      <color rgb="FFFF99CC"/>
      <color rgb="FF00486A"/>
      <color rgb="FF007E69"/>
      <color rgb="FF99FF66"/>
      <color rgb="FFB1A0C7"/>
      <color rgb="FF00DE6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6_08_04\Tarifverfahren\Reference%20price%20Methode\020\2020_04_14%20TAR%20Tariff%20Model%20DRAFT%20v2%20noITCcap%20NICnoadj%20191101.cleaned_ais%20-%20Non%20Acc%20=%20A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, Parameters"/>
      <sheetName val="adjusted Tariffs"/>
      <sheetName val="theor. Tariffs"/>
      <sheetName val="&gt;&gt;Calculations"/>
      <sheetName val="1 VP distances"/>
      <sheetName val="2a ENTRY tariffs"/>
      <sheetName val="2b EXIT tariffs"/>
      <sheetName val="3 ITCs"/>
      <sheetName val="Checks"/>
      <sheetName val="&gt;&gt;Inputs"/>
      <sheetName val="Capacities"/>
      <sheetName val="Coords, Distances"/>
      <sheetName val="DZK relations"/>
      <sheetName val="Tarife_gesamt reviewed"/>
      <sheetName val="CAA capacity"/>
      <sheetName val="CAA commodity"/>
      <sheetName val="VTPB"/>
      <sheetName val="Report"/>
      <sheetName val="Consolidato"/>
      <sheetName val="Forec."/>
      <sheetName val="2002"/>
      <sheetName val="2003"/>
      <sheetName val="2004"/>
      <sheetName val="2005"/>
      <sheetName val="E P"/>
      <sheetName val="GAS"/>
      <sheetName val="ELETTRICO"/>
      <sheetName val="R&amp;M"/>
      <sheetName val="PETRO"/>
      <sheetName val="COSTRUZ."/>
      <sheetName val="INGEGN."/>
      <sheetName val="SOFID"/>
      <sheetName val="ENIFIN"/>
      <sheetName val="EIH"/>
      <sheetName val="ENIBANK"/>
      <sheetName val="ENITECNO"/>
      <sheetName val="ENICOM"/>
      <sheetName val="ENIDATA"/>
      <sheetName val="ENISUD+ENIRIS"/>
      <sheetName val="ESA"/>
      <sheetName val="Eurosolare"/>
      <sheetName val="SIECO"/>
      <sheetName val="TECNOMARE"/>
      <sheetName val="CORPORATE"/>
      <sheetName val="Acquis.E&amp;P+Gas"/>
      <sheetName val="Acquis.E&amp;P"/>
      <sheetName val="Acquis. Gas."/>
      <sheetName val="Investim."/>
      <sheetName val="Hurdle Rate"/>
      <sheetName val="CE cons."/>
      <sheetName val="Flussi&amp;Indici cons."/>
      <sheetName val="Budget"/>
      <sheetName val="2001"/>
      <sheetName val="POWERGEN"/>
      <sheetName val="ENICC"/>
      <sheetName val="ENISUD"/>
      <sheetName val="CE cons_"/>
      <sheetName val="Flussi_Indici cons_"/>
      <sheetName val="Forec_"/>
      <sheetName val="Investim_"/>
      <sheetName val="R_M"/>
      <sheetName val="COSTRUZ_"/>
      <sheetName val="INGEGN_"/>
      <sheetName val="#BusinessQuery#"/>
      <sheetName val="QUERY"/>
      <sheetName val="MP"/>
      <sheetName val="PY"/>
      <sheetName val="Varianti PBIT"/>
      <sheetName val="MP Graph"/>
      <sheetName val="PY Graph"/>
      <sheetName val="POWER7"/>
      <sheetName val="Dati_Bloomberg"/>
      <sheetName val="TAG CAPEX Detail"/>
      <sheetName val="CAPEX summary EN"/>
      <sheetName val="CAPEX summary DE"/>
      <sheetName val="cleaned"/>
      <sheetName val="2 Investment Plan 2018"/>
      <sheetName val="3-4 Opex 2016-2018"/>
      <sheetName val="Non-controllable OPEX"/>
      <sheetName val="5 Maintenance Costs"/>
      <sheetName val="6 -7 Capacity Data"/>
      <sheetName val="8 Auction premium"/>
      <sheetName val="9 Operating gas 2018"/>
      <sheetName val="Operating gas 2017"/>
      <sheetName val="Operating gas 2016"/>
      <sheetName val="10 CO2 2018"/>
      <sheetName val="CO2 2017"/>
      <sheetName val="CO2 2016"/>
      <sheetName val="11 System losses"/>
      <sheetName val="12 Dividends"/>
      <sheetName val="13 Financial structure"/>
      <sheetName val="15 Linepack status"/>
      <sheetName val="17 Trial Balance UGB 31.12.2018"/>
      <sheetName val="18 MGM cost"/>
      <sheetName val="20 GCA and SNAM"/>
      <sheetName val="21 WHRU Erlöse 2018"/>
      <sheetName val="22 Arbitration Costs"/>
      <sheetName val="23 Ergebnis Kundenzufrieden"/>
      <sheetName val="24 Unplanned maintenance"/>
      <sheetName val="25 ENTSOG Missing Count hourly"/>
      <sheetName val="25 ENTSOG % Complete hourly"/>
      <sheetName val="25 ENTSOG Missing Count daily"/>
      <sheetName val="25 ENTSOG % Complete daily"/>
      <sheetName val="26 annual ÖVGW registration"/>
      <sheetName val="27 State of ISO certifications"/>
      <sheetName val="28 Revenues from sold assets"/>
      <sheetName val="29 GCA, SNAM and affiliated"/>
      <sheetName val="30 Pressure Agreement"/>
      <sheetName val="31 Purchase of used equipments"/>
      <sheetName val="32 Tendered contracts"/>
      <sheetName val="Tariff"/>
      <sheetName val="Data sheet"/>
      <sheetName val="book values"/>
      <sheetName val="Capacities "/>
      <sheetName val="Actual revenues"/>
      <sheetName val="Basisdaten CAPEX"/>
      <sheetName val="OPEX"/>
      <sheetName val="costs for fuel gas"/>
      <sheetName val="Energy costs"/>
      <sheetName val="Revaluated assets basis 2012"/>
      <sheetName val="Revaluated assets basis 2013"/>
      <sheetName val="Revaluated assets basis 2014"/>
      <sheetName val="Revaluated assets basis 2015"/>
      <sheetName val="Revaluated assets basis 2016"/>
      <sheetName val="Revaluated assets basis 2017"/>
      <sheetName val="Revaluated assets basis 2018"/>
      <sheetName val="Revaluated assets basis 2019"/>
      <sheetName val="Revaluated assets basis 2020"/>
      <sheetName val="Revaluated assets basis 2021"/>
      <sheetName val="Revaluated assets basis 2022"/>
      <sheetName val="Revaluated assets basis 2023"/>
      <sheetName val="Revaluated assets basis 2024"/>
      <sheetName val="Revaluated assets basis 2025"/>
      <sheetName val="Revaluated assets basis 2026"/>
      <sheetName val="Revaluated assets basis 2027"/>
      <sheetName val="Revaluated assets basis 2028"/>
      <sheetName val="Revaluated assets basis 2029"/>
      <sheetName val="Revaluated assets basis 2030"/>
      <sheetName val="Revaluated assets basis 2031"/>
      <sheetName val="Modul1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Detail OMV Gas GmbH"/>
      <sheetName val="Titel"/>
      <sheetName val="Input Data"/>
      <sheetName val="Sales &amp; var. cost of goods sold"/>
      <sheetName val="Overhead"/>
      <sheetName val="Capital &amp; NIBCLs"/>
      <sheetName val="Income Statement"/>
      <sheetName val="Cost of Capital"/>
      <sheetName val="EVA-Value-Driver-Tree"/>
      <sheetName val="EVA-Chart"/>
      <sheetName val="Valuation"/>
      <sheetName val="Data for the Chart"/>
      <sheetName val="OM FEE"/>
      <sheetName val="DBase interventi"/>
      <sheetName val="DEV"/>
      <sheetName val="OV_DataEntry"/>
      <sheetName val="Tabelle1"/>
      <sheetName val="Parameter"/>
      <sheetName val="EINGABE"/>
      <sheetName val="Deckblatt B 2 (grau)"/>
      <sheetName val="KZ"/>
      <sheetName val="VL"/>
      <sheetName val="FL"/>
      <sheetName val="EL"/>
      <sheetName val="Deckblatt B 1 (grau)"/>
      <sheetName val="Bilanz"/>
      <sheetName val="GuV"/>
      <sheetName val="ASP"/>
      <sheetName val="RSP"/>
      <sheetName val="Kontrolle"/>
      <sheetName val="Bilanz - Vorlage"/>
      <sheetName val="Kopfseite für A4 Asp"/>
      <sheetName val="Database-Registered Shipper"/>
      <sheetName val="Tabelle2"/>
      <sheetName val="Invoices-Credit Limit 2013"/>
      <sheetName val="Invoices-Credit Limit 2014"/>
      <sheetName val="Credit Limits as per 10.09.15 "/>
      <sheetName val="Invoices-Credit Limit 2015"/>
      <sheetName val="Registration Process NEW"/>
      <sheetName val="Communication Contact"/>
      <sheetName val="Balance Groups 05.09.2013"/>
      <sheetName val="Pivot Balance Groups 05.09.2013"/>
      <sheetName val="Registration Process OLD"/>
      <sheetName val="PRISMA Security OLD"/>
      <sheetName val="INT"/>
      <sheetName val="CE_DataEntry"/>
      <sheetName val="SP_DataEntry"/>
      <sheetName val="RF_Report"/>
      <sheetName val="Notes"/>
      <sheetName val="Input_Transit"/>
      <sheetName val="Ouput_transit"/>
      <sheetName val="Reg Rev_Transit"/>
      <sheetName val="Reg Rev_Transit_CIV 2010"/>
      <sheetName val="Reg Rev_Transit_CIV 2022"/>
      <sheetName val="Negotiated Revenues_Transit"/>
      <sheetName val="RAB"/>
      <sheetName val="RAB_2011"/>
      <sheetName val="Reg Rev_Transit_2011"/>
      <sheetName val="Reg Rev_Transit_CIV 2010_2011"/>
      <sheetName val="Reg Rev_Transit_CIV 2022_2011"/>
      <sheetName val="WACC"/>
      <sheetName val="Scenari"/>
      <sheetName val="centralizzati"/>
      <sheetName val="centralizzati (2)"/>
      <sheetName val="consulenze"/>
      <sheetName val="handling ig-i9"/>
      <sheetName val="differenze da bgt08 rvd"/>
      <sheetName val="riduz. pax"/>
      <sheetName val="crediti Alitalia"/>
      <sheetName val="rischi crediti"/>
      <sheetName val="NEW"/>
      <sheetName val="NEW (per slide)"/>
      <sheetName val="NEW (per slide) (06.11.08)"/>
      <sheetName val="NEW (per slide) (2)"/>
      <sheetName val="NEW per scalo"/>
      <sheetName val="NEW x BU"/>
      <sheetName val="NEW x BU (slide)"/>
      <sheetName val="IPC"/>
      <sheetName val="Inc.AR"/>
      <sheetName val="BASE DE DATOS"/>
      <sheetName val="Gen-2"/>
      <sheetName val="ADICIONES"/>
      <sheetName val="A"/>
      <sheetName val="100-01-1"/>
      <sheetName val="100-03"/>
      <sheetName val="100-04"/>
      <sheetName val="100,08-09-10-11-12-13-18-101,XX"/>
      <sheetName val="101,03"/>
      <sheetName val="100,05"/>
      <sheetName val="101,04"/>
      <sheetName val="100,06"/>
      <sheetName val="100,07"/>
      <sheetName val="Sheet1"/>
      <sheetName val="Sheet2"/>
      <sheetName val="Sheet3"/>
      <sheetName val="Sheet4"/>
      <sheetName val="Sheet5"/>
      <sheetName val="Sheet6"/>
      <sheetName val="Sheet7"/>
      <sheetName val="Q"/>
      <sheetName val="R"/>
      <sheetName val="S"/>
      <sheetName val="T"/>
      <sheetName val="U"/>
      <sheetName val="V"/>
      <sheetName val="29 de Agosto 2000"/>
      <sheetName val="#REF"/>
      <sheetName val=""/>
      <sheetName val="Control Panel"/>
      <sheetName val="Coactiva Summary Table"/>
      <sheetName val="Historical - Law 42 - Damages"/>
      <sheetName val="PEE Reconciliation"/>
      <sheetName val="2009 Block Billings"/>
      <sheetName val="Coca-Paya PSC+Flat Ext"/>
      <sheetName val="Block 7 PSC + Flat Ext"/>
      <sheetName val="Block 21 PSC"/>
      <sheetName val="Incremental - Lobo IRR "/>
      <sheetName val="Incremental - CP IRR"/>
      <sheetName val="Crick Inputs"/>
      <sheetName val="Crick CAPEX"/>
      <sheetName val="Backup Data--&gt;"/>
      <sheetName val="2006-2008 OPEX"/>
      <sheetName val="Historical Capex"/>
      <sheetName val="Macro"/>
      <sheetName val="Crude Oil Prices"/>
      <sheetName val="WACC-&gt; "/>
      <sheetName val="WACC (Model)"/>
      <sheetName val="RV, Returns"/>
      <sheetName val="Risk Free Rate (Model)"/>
      <sheetName val="Local Debt-to-MarketCap"/>
      <sheetName val="Raw Data--&gt;"/>
      <sheetName val="BLS Data Series"/>
      <sheetName val="ImpAgosto"/>
      <sheetName val="ImpuestoAbrilaJulio (2)"/>
      <sheetName val="ImpuestoAbrilaJulio"/>
      <sheetName val="Tiempo extra"/>
      <sheetName val="Previsión social"/>
      <sheetName val="Prima dominical"/>
      <sheetName val="Prima vacacional"/>
      <sheetName val="Tarifas"/>
      <sheetName val="Salario mínimo"/>
      <sheetName val="Tickmarks"/>
      <sheetName val="Umbral Utilidad"/>
      <sheetName val="Utilidades"/>
      <sheetName val="Prest. Soc."/>
      <sheetName val="Umbral Prestaciones"/>
      <sheetName val="SSO"/>
      <sheetName val="Umbral SSO"/>
      <sheetName val="Umbral SPF"/>
      <sheetName val="LPH INCE"/>
      <sheetName val="Umbral LPH"/>
      <sheetName val="Umbral INCE"/>
      <sheetName val="TB SEP-04"/>
      <sheetName val="BC sep-04 UCM"/>
      <sheetName val="P&amp;L UCM jun04"/>
      <sheetName val="CCF"/>
      <sheetName val="Aj anual inf"/>
      <sheetName val="Dep Cont"/>
      <sheetName val="Venta A.F."/>
      <sheetName val="ACT.PERDIDA"/>
      <sheetName val="C.U"/>
      <sheetName val="SSO y SPF"/>
      <sheetName val="Umbral SSO 31.12.03"/>
      <sheetName val="Umbral SPF 31.12.02"/>
      <sheetName val="LPH e INCE"/>
      <sheetName val="Umbral  LPH 31.12.03"/>
      <sheetName val="Umbral INCE 31.12.03"/>
      <sheetName val="XREF"/>
      <sheetName val="SSO y SPF 2003"/>
      <sheetName val="Umbral SPF 31.12.03"/>
      <sheetName val="R.P.I. "/>
      <sheetName val="P.N.I. "/>
      <sheetName val="Inv. Extranjero"/>
      <sheetName val="VALORES PUBLICOS"/>
      <sheetName val="devaluacion valores dpn"/>
      <sheetName val="Detalle"/>
      <sheetName val="MOVIMIENTO"/>
      <sheetName val="DISMINUCION PAT"/>
      <sheetName val="Indice"/>
      <sheetName val="Resultado fiscal"/>
      <sheetName val="Analisis de ingresos y gast"/>
      <sheetName val="Concil Cont Fis"/>
      <sheetName val="Ajuste infl DTT"/>
      <sheetName val="balanzas"/>
      <sheetName val="cred y deud"/>
      <sheetName val="Auxiliar clientes dic 02 - dic "/>
      <sheetName val="Deprec Cont DTT"/>
      <sheetName val="Dep Fisc y Prom A.F. DTT "/>
      <sheetName val="Deprec Cont"/>
      <sheetName val="I.A."/>
      <sheetName val="Prom I.A."/>
      <sheetName val="VAT payable"/>
      <sheetName val="VAT creditable"/>
      <sheetName val="coef Ut"/>
      <sheetName val="altas UCM"/>
      <sheetName val="Altas UCI"/>
      <sheetName val="Parameters"/>
      <sheetName val="NPV Low"/>
      <sheetName val="NPV Medium"/>
      <sheetName val="NPV High"/>
      <sheetName val="PM data"/>
      <sheetName val="Summary"/>
      <sheetName val="Graphs"/>
      <sheetName val="Graph-Wells"/>
      <sheetName val="Yuralpa-Oil-Profile"/>
      <sheetName val="B21-Drilling-Schedule"/>
      <sheetName val="B7-Drilling-Schedule"/>
      <sheetName val="Yuralpa-Oil-Profile-Cum"/>
      <sheetName val="CAPITAL DETAIL"/>
      <sheetName val="Yuralpa-Profile-Summary"/>
      <sheetName val="YCA-10V"/>
      <sheetName val="YCA-9H-10H-Profile"/>
      <sheetName val="YC-B3ST"/>
      <sheetName val="YC-B6+B7"/>
      <sheetName val="YCG-VA"/>
      <sheetName val="YCG-HA"/>
      <sheetName val="YC-E1H-Profile"/>
      <sheetName val="YC-E2H-Profile"/>
      <sheetName val="YC-F4H+F5V"/>
      <sheetName val="YC-G234H"/>
      <sheetName val="YC-DownDip-5-Wells"/>
      <sheetName val="Oil-80ft"/>
      <sheetName val="Oil-100ft"/>
      <sheetName val="Oil-120ft"/>
      <sheetName val="Profile-H-100-120ft"/>
      <sheetName val="Profile-H-120-140ft"/>
      <sheetName val="PBidaux-Type-Profile"/>
      <sheetName val="Profile-H-UHollin"/>
      <sheetName val="STOIIP"/>
      <sheetName val="Coordinates"/>
      <sheetName val="Drainage"/>
      <sheetName val="NPV"/>
      <sheetName val="Baseline Chart"/>
      <sheetName val="Devel. Chart"/>
      <sheetName val="Reserves Summary"/>
      <sheetName val="Reserves"/>
      <sheetName val="BL MTO"/>
      <sheetName val="BL negotiation"/>
      <sheetName val="DEV PROD MTO"/>
      <sheetName val="DEV CAPEX MTO"/>
      <sheetName val="DEV Prod Negotiation"/>
      <sheetName val="DEV CAPEX Negotiation"/>
      <sheetName val="WELLINDEX"/>
      <sheetName val="C-P COMP"/>
      <sheetName val="RB7 COMP"/>
      <sheetName val="B7 COMP"/>
      <sheetName val="REAL"/>
      <sheetName val="delta"/>
      <sheetName val="SCH-HIGH"/>
      <sheetName val="SCH-BASE"/>
      <sheetName val="SCH-LOW"/>
      <sheetName val="Tab Color Code"/>
      <sheetName val="CHARTS"/>
      <sheetName val="OFM SOURCE"/>
      <sheetName val="OMR"/>
      <sheetName val="FIELD-HIST"/>
      <sheetName val="WELL-HIST"/>
      <sheetName val="FIELD-H&amp;BL"/>
      <sheetName val="BL"/>
      <sheetName val="SCH-chart"/>
      <sheetName val="CAPEX SUMMARY"/>
      <sheetName val="WELLS SUMMARY"/>
      <sheetName val="B7 DEV HIGH"/>
      <sheetName val="B7 DEV BASE"/>
      <sheetName val="B7 DEV LOW"/>
      <sheetName val="DEV CAPEX"/>
      <sheetName val="C-P HIGH"/>
      <sheetName val="C-P BASE"/>
      <sheetName val="C-P LOW"/>
      <sheetName val="OSO HIGH"/>
      <sheetName val="OSO BASE"/>
      <sheetName val="OSO LOW"/>
      <sheetName val="LOBO HIGH"/>
      <sheetName val="LOBO BASE"/>
      <sheetName val="LOBO LOW"/>
      <sheetName val="COC-BL"/>
      <sheetName val="PAY-BL"/>
      <sheetName val="GAC-BL"/>
      <sheetName val="JAG-BL"/>
      <sheetName val="LOB-BL"/>
      <sheetName val="MON-BL"/>
      <sheetName val="OSO-BL"/>
      <sheetName val="COC-HIST"/>
      <sheetName val="PAY-HIST"/>
      <sheetName val="GAC-HIST"/>
      <sheetName val="JAG-HIST"/>
      <sheetName val="LOB-HIST"/>
      <sheetName val="MON-HIST"/>
      <sheetName val="OSO-HIST"/>
      <sheetName val="DNH BUDGET"/>
      <sheetName val="WT-OSO_HOL"/>
      <sheetName val="WT-OSO_Napo"/>
      <sheetName val="WT-OSO_Napo_Inj"/>
      <sheetName val="WT-Lobo_Napo_Prod"/>
      <sheetName val="WT-Lobo_Inj"/>
      <sheetName val="WT-Pay_Napo_Prod"/>
      <sheetName val="WT-Pay_Napo_Inj"/>
      <sheetName val="WT-Coca_BT_Prod"/>
      <sheetName val="WT-Coca_BT_Inj"/>
      <sheetName val="Oso-Decline-Graph"/>
      <sheetName val="KEY DATA"/>
      <sheetName val="Capex"/>
      <sheetName val="sensitivity"/>
      <sheetName val="PL stmt"/>
      <sheetName val="Prod Gross"/>
      <sheetName val="Prodn net"/>
      <sheetName val="Prod Dev"/>
      <sheetName val="Prod Dev bis"/>
      <sheetName val="Capex bis"/>
      <sheetName val="Opex Detail"/>
      <sheetName val="Total Fields"/>
      <sheetName val="Casanare"/>
      <sheetName val="Trinidad"/>
      <sheetName val="North"/>
      <sheetName val="South"/>
      <sheetName val="Admex"/>
      <sheetName val="Interco. services"/>
      <sheetName val="Turnover"/>
      <sheetName val="PL Summary"/>
      <sheetName val="Year-to-Date"/>
      <sheetName val="Production Summary"/>
      <sheetName val="comments"/>
      <sheetName val="TurnovOil"/>
      <sheetName val="TurnOth"/>
      <sheetName val="Taxation"/>
      <sheetName val="Reconc"/>
      <sheetName val="Prod Anal"/>
      <sheetName val="Full Year"/>
      <sheetName val="Refinery"/>
      <sheetName val="OpexContract"/>
      <sheetName val="Forec"/>
      <sheetName val="Budg"/>
      <sheetName val="Last year"/>
      <sheetName val="YTD P&amp;L by field"/>
      <sheetName val="FY P&amp;L by field"/>
      <sheetName val="Common Opex"/>
      <sheetName val="Head Count"/>
      <sheetName val="Old -----&gt;"/>
      <sheetName val="BUD PROD"/>
      <sheetName val="Production Analysis"/>
      <sheetName val="blank1"/>
      <sheetName val="blank2"/>
      <sheetName val="blank3"/>
      <sheetName val="blank4"/>
      <sheetName val="blank5"/>
      <sheetName val="blank6"/>
      <sheetName val="blank7"/>
      <sheetName val="blank8"/>
      <sheetName val="blank9"/>
      <sheetName val="blank10"/>
      <sheetName val="blank11"/>
      <sheetName val="blank12"/>
      <sheetName val="blank13"/>
      <sheetName val="blank14"/>
      <sheetName val="blank15"/>
      <sheetName val="profit cent"/>
      <sheetName val="profit cent,2"/>
      <sheetName val="profit cent,3"/>
      <sheetName val="profit cent,4"/>
      <sheetName val="profit cent.5"/>
      <sheetName val="profit cent.6"/>
      <sheetName val="Moudi Opex 100%"/>
      <sheetName val="Ebome Opex 100%"/>
      <sheetName val="Perenco Cameroon 100%"/>
      <sheetName val="Common Costs"/>
      <sheetName val="Turn Refor 2004 - Month &amp; YTD"/>
      <sheetName val="Var Stock"/>
      <sheetName val="MA vs GL"/>
      <sheetName val="P&amp;L PERCAM V3"/>
      <sheetName val="Fields"/>
      <sheetName val="profit cent.4"/>
      <sheetName val="AFE drlg Producer"/>
      <sheetName val="AFE Completion"/>
      <sheetName val="COMPARE"/>
      <sheetName val="ACTUAL"/>
      <sheetName val="PROPOSAL"/>
      <sheetName val="30&quot; CP"/>
      <sheetName val="17.5 phase"/>
      <sheetName val="12.25&quot; Phase"/>
      <sheetName val="COMPLETION"/>
      <sheetName val="AFE"/>
      <sheetName val="ECS-1 ST Time Sheet"/>
      <sheetName val="Graphic Gen"/>
      <sheetName val="Graphic LT"/>
      <sheetName val="Time Breakdown"/>
      <sheetName val="Time General"/>
      <sheetName val="Time-Depth Curve"/>
      <sheetName val="Devi Actual"/>
      <sheetName val="AFE FORM"/>
      <sheetName val="EGA(1) J Profile TDC"/>
      <sheetName val="Drl (TDC)"/>
      <sheetName val="EG-A(1)  Costs"/>
      <sheetName val="EG-A resume"/>
      <sheetName val="Completion Schematic "/>
      <sheetName val="WELL STATUS DIAGRAM"/>
      <sheetName val="Profil"/>
      <sheetName val="DrlProfil"/>
      <sheetName val="B7&amp;B21-Reserves"/>
      <sheetName val="B07-MTO-Profile"/>
      <sheetName val="Graph"/>
      <sheetName val="B7-Prod-Profiles"/>
      <sheetName val="B7-Base-Line"/>
      <sheetName val="Oso-Base-Line"/>
      <sheetName val="Oso-Base-Line-Dual"/>
      <sheetName val="Oso-Water-Profiles"/>
      <sheetName val="POD-Summary"/>
      <sheetName val="Oso-2006-Capex"/>
      <sheetName val="Oso-POD-Add-Oil"/>
      <sheetName val="Oso-POD-Add-Oil-Napo"/>
      <sheetName val="Oso-POD-BaseLine-Oil"/>
      <sheetName val="Oso-POD-Water"/>
      <sheetName val="Oso-Pad-A-Oil"/>
      <sheetName val="Oso-Pad-B-Oil"/>
      <sheetName val="Oso-Pad-S-Oil"/>
      <sheetName val="Oso-Pad-A-Water"/>
      <sheetName val="Oso-Pad-B-Water"/>
      <sheetName val="Oso-Further-POD-Graphs"/>
      <sheetName val="Oso-POD-Low"/>
      <sheetName val="Oso-POD-Base"/>
      <sheetName val="Oso-POD-Base-Dual"/>
      <sheetName val="Oso-POD-High"/>
      <sheetName val="Oso-Low-Drilling-Schedule"/>
      <sheetName val="OSO-BASE-Drilling-Schedule"/>
      <sheetName val="OSO-HIGH-Drilling-Schedule"/>
      <sheetName val="Oso-POD-Low-Napo"/>
      <sheetName val="Oso-POD-Base-Napo"/>
      <sheetName val="Oso-POD-Base-Dual-Napo"/>
      <sheetName val="Oso-POD-High-Napo"/>
      <sheetName val="Oso-Napo-Type-Profiles"/>
      <sheetName val="Oso-Hollin-Type-Oil"/>
      <sheetName val="Oso-Hollin-Napo-Comp"/>
      <sheetName val="Oso-Hollin-Type-Water"/>
      <sheetName val="Oso-3-4-Water"/>
      <sheetName val="OSO-7-Smart-Complet"/>
      <sheetName val="OSO-4-Smart-Complet"/>
      <sheetName val="Oso-15-Hollin-Napo-Prod"/>
      <sheetName val="Lobo-Prod-X"/>
      <sheetName val="Lobo-Inj-X"/>
      <sheetName val="Lobo-2ST"/>
      <sheetName val="B7-Prod-History"/>
      <sheetName val="Oso-15-Napo-Prod"/>
      <sheetName val="Oso-15-Hollin-Prod"/>
      <sheetName val="Field-Profile"/>
      <sheetName val="Oso-1"/>
      <sheetName val="Oso-3"/>
      <sheetName val="Oso-4"/>
      <sheetName val="Oso-5"/>
      <sheetName val="OSO-X-Profiles"/>
      <sheetName val="OSO-Y-Profiles"/>
      <sheetName val="OSO-North-Profiles"/>
      <sheetName val="Frontino-A-Profile"/>
      <sheetName val="Field-Water-X-Y"/>
      <sheetName val="WTR_Production_Complete"/>
      <sheetName val="POD_2013_Qoil"/>
      <sheetName val="InitiallyIncludedKey"/>
      <sheetName val="SourceKey"/>
      <sheetName val="OFMImpPivt"/>
      <sheetName val="OFMImport"/>
      <sheetName val="WTR_Production_Original"/>
      <sheetName val="OFM_Inj"/>
      <sheetName val="Injection"/>
      <sheetName val="CP USND WF"/>
      <sheetName val="DRILLCURVE"/>
      <sheetName val="Proposed Completion"/>
      <sheetName val="Casing Design"/>
      <sheetName val="OSO-XYZ-Profiles"/>
      <sheetName val="OSO-6-Profiles"/>
      <sheetName val="OSO-7-Profiles"/>
      <sheetName val="OSO-8-Profiles"/>
      <sheetName val="OSO-U-Sand"/>
      <sheetName val="Frontino-A"/>
      <sheetName val="Frontino-BC"/>
      <sheetName val="Frontino-5-MH"/>
      <sheetName val="Oso-NA-MH"/>
      <sheetName val="Oso-NA-Napo"/>
      <sheetName val="Paya-10-WI"/>
      <sheetName val="Lobo-Phase-I"/>
      <sheetName val="Lobo-Phase-II"/>
      <sheetName val="Type-Water-X"/>
      <sheetName val="Well-Coordinates"/>
      <sheetName val="B7-Summary"/>
      <sheetName val="Oso-Base-Line-NoDual"/>
      <sheetName val="Oso-Decline-Dual-Graph"/>
      <sheetName val="Oso-POD-High-2Rig"/>
      <sheetName val="Oso-POD-Base-Dual-2Rig"/>
      <sheetName val="Oso-POD-Base-2Rig"/>
      <sheetName val="Oso-POD-Low-2Rig"/>
      <sheetName val="Lobo-POD"/>
      <sheetName val="Oso-17-Hollin-Napo-Prod"/>
      <sheetName val="Oso-17-Napo-Prod"/>
      <sheetName val="Oso-17-Hollin-Prod"/>
      <sheetName val="Lobo-5-Prod"/>
      <sheetName val="Reserve"/>
      <sheetName val="B07-Annual-Profile"/>
      <sheetName val="Oso-Hollin-Napo-Smooth"/>
      <sheetName val="OSO-4-7-Dual-Complet"/>
      <sheetName val="Oso-18-Hollin-Napo-Prod"/>
      <sheetName val="Oso-18-Hollin-Prod"/>
      <sheetName val="Oso-18-Napo-Prod"/>
      <sheetName val="B7-Type-Inj"/>
      <sheetName val="Paya-Napo-Prod"/>
      <sheetName val="B"/>
      <sheetName val="StromK"/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PERPROD0030129"/>
      <sheetName val="B7 BehPip HIGH"/>
      <sheetName val="B7 BehPip BASE"/>
      <sheetName val="B7 Shut-in HIGH"/>
      <sheetName val="B7 Shut-in BASE"/>
      <sheetName val="WT-OSO_Napo_BP"/>
      <sheetName val="WT-MONO_Napo_BP"/>
      <sheetName val="WT-GAC_Napo_BP"/>
      <sheetName val="bg int"/>
      <sheetName val="Options"/>
      <sheetName val="Standing Orders"/>
      <sheetName val="Swing Price curve"/>
      <sheetName val="IPE Settlement dates"/>
      <sheetName val="Electricity"/>
      <sheetName val="Capacity"/>
      <sheetName val="Capacity1"/>
      <sheetName val="wk-wkd"/>
      <sheetName val="Space only BG"/>
      <sheetName val="Troll Price "/>
      <sheetName val="Shares"/>
      <sheetName val="Peakflow"/>
      <sheetName val="MGI"/>
      <sheetName val="StoragePrix  (new opt)"/>
      <sheetName val="SAP"/>
      <sheetName val="StorageVol"/>
      <sheetName val="Swing"/>
      <sheetName val="Capacity cost"/>
      <sheetName val="TOM Position"/>
      <sheetName val="Elf"/>
      <sheetName val="StoragePrix  (sofar reop)"/>
      <sheetName val="Events"/>
      <sheetName val="Chart5"/>
      <sheetName val="Sheet 1"/>
      <sheetName val="Collated Data - DP"/>
      <sheetName val="Chart4"/>
      <sheetName val="Total"/>
      <sheetName val="loga"/>
      <sheetName val="SCHEDULING_AGGREGATO_GJ"/>
      <sheetName val="TaxB21"/>
      <sheetName val="NPV B21"/>
      <sheetName val="Assets B21"/>
      <sheetName val=" OCP"/>
      <sheetName val="Contingent"/>
      <sheetName val="Sheet"/>
      <sheetName val="Recon"/>
      <sheetName val="MTH"/>
      <sheetName val="income HX"/>
      <sheetName val="income BoS"/>
      <sheetName val="Staff"/>
      <sheetName val="wkg RB Pillar"/>
      <sheetName val="Criteria"/>
      <sheetName val="Inc_Act"/>
      <sheetName val="Inc_Bud"/>
      <sheetName val="ATM"/>
      <sheetName val="ATM Bud"/>
      <sheetName val="MTDirect"/>
      <sheetName val="Switch card processing"/>
      <sheetName val="Exp_Act"/>
      <sheetName val="Inc BOS Q3"/>
      <sheetName val="Inc_For"/>
      <sheetName val="Exp_Bud"/>
      <sheetName val="Exp_For"/>
      <sheetName val="FTE Bud"/>
      <sheetName val="FTE For"/>
      <sheetName val="Meldungen"/>
      <sheetName val="Datenanforderung Restl. GG"/>
      <sheetName val="Übrige Gaserlöse, Speicher"/>
      <sheetName val="Center V"/>
      <sheetName val="Manuel d'utilisation"/>
      <sheetName val="Recherche"/>
      <sheetName val="Référentiel"/>
      <sheetName val="Grafieken"/>
      <sheetName val="Content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Светлые"/>
      <sheetName val="Proforma"/>
      <sheetName val="Assumptions"/>
      <sheetName val="CSCCincSKR"/>
      <sheetName val="PFC-PYX1"/>
      <sheetName val="GDP"/>
      <sheetName val="Real GDP &amp; Real IP (u)"/>
      <sheetName val="Real GDP &amp; Real IP (e)"/>
      <sheetName val="GDP_gr"/>
      <sheetName val="Graph1"/>
      <sheetName val="Graph2"/>
      <sheetName val="synthgraph"/>
      <sheetName val="1b.IPOs"/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NewGraph"/>
      <sheetName val="AVP"/>
      <sheetName val="Taforg-terv97"/>
      <sheetName val="TAFORG(várható)"/>
      <sheetName val="HSZOB"/>
      <sheetName val="KKÚT"/>
      <sheetName val="PEDERICS"/>
      <sheetName val="ZSANA"/>
      <sheetName val="MAROS"/>
      <sheetName val="UKRAJNA"/>
      <sheetName val="TAFORG"/>
      <sheetName val="Oil Consensus"/>
      <sheetName val="Gas Consensus"/>
      <sheetName val="Charts (2)"/>
      <sheetName val="FWC-Brent"/>
      <sheetName val="FWC-WTI"/>
      <sheetName val="10 yr crude price"/>
      <sheetName val="1 yr crude price"/>
      <sheetName val="Brent-Ural Spread"/>
      <sheetName val="Gas price"/>
      <sheetName val="DS"/>
      <sheetName val="DS 1"/>
      <sheetName val="Cover"/>
      <sheetName val="Output"/>
      <sheetName val="Construction"/>
      <sheetName val="Calculation"/>
      <sheetName val="Business plan"/>
      <sheetName val="Tariff structure"/>
      <sheetName val="Analysis"/>
      <sheetName val="Charts-Small"/>
      <sheetName val="Charts-Big"/>
      <sheetName val="Valuation summary"/>
      <sheetName val="Valuation - market leverage"/>
      <sheetName val="DS request"/>
      <sheetName val="Taishan - preliminary business "/>
      <sheetName val="User's Guide"/>
      <sheetName val="(i)"/>
      <sheetName val="Benchmark"/>
      <sheetName val="Multiples"/>
      <sheetName val="(ii)"/>
      <sheetName val="TARGET"/>
      <sheetName val="Res &amp; Prod"/>
      <sheetName val="Tullow"/>
      <sheetName val="Maurel &amp; Prom"/>
      <sheetName val="Afren"/>
      <sheetName val="PA Res"/>
      <sheetName val="Addax"/>
      <sheetName val="CNR"/>
      <sheetName val="(iii)"/>
      <sheetName val="Graph I"/>
      <sheetName val="Graph II"/>
      <sheetName val="Beta"/>
      <sheetName val="Reg"/>
      <sheetName val="Profile"/>
      <sheetName val="Check"/>
      <sheetName val="Brokers"/>
      <sheetName val="Tables and numbers"/>
      <sheetName val="Shareholding"/>
      <sheetName val="User Guide"/>
      <sheetName val="Colour pannel"/>
      <sheetName val="Strategic buyers"/>
      <sheetName val="Input"/>
      <sheetName val="Exec Sum"/>
      <sheetName val="Conversions"/>
      <sheetName val="Input mmcfd"/>
      <sheetName val="Input bcm"/>
      <sheetName val="Input BP"/>
      <sheetName val="Drill"/>
      <sheetName val="Tables"/>
      <sheetName val="2006a Actuals"/>
      <sheetName val="2006b Actuals"/>
      <sheetName val="2006 Actuals"/>
      <sheetName val="2007a Budget"/>
      <sheetName val="2007b Budget"/>
      <sheetName val="2007 Budget"/>
      <sheetName val="2007a Prev Forecast"/>
      <sheetName val="2007b Prev Forecast"/>
      <sheetName val="2007 Prev Forecast"/>
      <sheetName val="2008a Prev Forecast"/>
      <sheetName val="2008b Prev Forecast"/>
      <sheetName val="2008 Prev Forecast"/>
      <sheetName val="2007a Cur Forecast"/>
      <sheetName val="2007b Cur Forecast"/>
      <sheetName val="2007 Cur Forecast"/>
      <sheetName val="2008a Cur Forecast"/>
      <sheetName val="2008b Cur Forecast"/>
      <sheetName val="2008 Cur Forecast"/>
      <sheetName val="Q3F base"/>
      <sheetName val="finanszhavi"/>
      <sheetName val="G1tabl"/>
      <sheetName val="G1tabl (2)"/>
      <sheetName val="G2tabl"/>
      <sheetName val="G3tabl"/>
      <sheetName val="üzemécs"/>
      <sheetName val="écs"/>
      <sheetName val="hitel"/>
      <sheetName val="beruhhitel"/>
      <sheetName val="finansz"/>
      <sheetName val="G198"/>
      <sheetName val="G298"/>
      <sheetName val="Munka1"/>
      <sheetName val="Munka2"/>
      <sheetName val="Munka3"/>
      <sheetName val="G1tabl_(2)2"/>
      <sheetName val="G1tabl_(2)"/>
      <sheetName val="G1tabl_(2)1"/>
      <sheetName val="CSHJNL"/>
      <sheetName val="Detail"/>
      <sheetName val="Plan Graph"/>
      <sheetName val="Jan Actuals"/>
      <sheetName val="MC"/>
      <sheetName val="RemuValSur"/>
      <sheetName val="NonRemuValSur"/>
      <sheetName val="Val Sur ME MDR"/>
      <sheetName val="Val Sur ME (HO)"/>
      <sheetName val="Val Sur ME (REGION)"/>
      <sheetName val="Val Sur ME (PROP)"/>
      <sheetName val="essbase YR"/>
      <sheetName val="essbase"/>
      <sheetName val="manpower budget"/>
      <sheetName val="manpower actual"/>
      <sheetName val="Lookup Ref"/>
      <sheetName val="ValSur Total"/>
      <sheetName val="Remu&amp;NonRemu ValSur (MDR)"/>
      <sheetName val="RemuValSur (HVSS)"/>
      <sheetName val="NonRemuValSur (HVSS)"/>
      <sheetName val="RemuValSur (Prop)"/>
      <sheetName val="NonRemuValSur (Prop)"/>
      <sheetName val="XLQUERY"/>
      <sheetName val="Loc Table"/>
      <sheetName val="Master Code"/>
      <sheetName val="EY Price Index"/>
      <sheetName val="Summary excl Cap Cred"/>
      <sheetName val="Sector Summary"/>
      <sheetName val="Reconciliation (excl cap cred)"/>
      <sheetName val="ITs &amp; Adjs"/>
      <sheetName val="FTP"/>
      <sheetName val="HFX MRTP"/>
      <sheetName val="Sector Deals"/>
      <sheetName val="RWAs"/>
      <sheetName val="CapitalCr"/>
      <sheetName val="HFX Mortgages"/>
      <sheetName val="BOS Mortgages"/>
      <sheetName val="Irish Mtgs"/>
      <sheetName val="SAM"/>
      <sheetName val="TMB"/>
      <sheetName val="EUBOS"/>
      <sheetName val="TOT BOS Mortgages"/>
      <sheetName val="TOT Mortgages"/>
      <sheetName val="HFX Savings"/>
      <sheetName val="BOS Savings"/>
      <sheetName val="TOT Savings excl Off"/>
      <sheetName val="HFX Offshore"/>
      <sheetName val="BHH Offshore"/>
      <sheetName val="TOT HFX Offshore"/>
      <sheetName val="TOT Savings"/>
      <sheetName val="Mtg&amp;Sav&amp;Off"/>
      <sheetName val="HFX Banking"/>
      <sheetName val="BOS Banking"/>
      <sheetName val="BOS Wealth Mgt"/>
      <sheetName val="BOS Offshore"/>
      <sheetName val="TOT Banking"/>
      <sheetName val="Total BoS Banking"/>
      <sheetName val="Total Savings"/>
      <sheetName val="HFX Sec PLoans"/>
      <sheetName val="HFX Unsec PLoans"/>
      <sheetName val="TOT HFX Loans"/>
      <sheetName val="BOS PLoans"/>
      <sheetName val="TOT PLoans"/>
      <sheetName val="HFX CreditCr"/>
      <sheetName val="BOS CreditCr"/>
      <sheetName val="TOT CreditCr"/>
      <sheetName val="Cons Cr"/>
      <sheetName val="BM"/>
      <sheetName val="IF"/>
      <sheetName val="HBOS Sharedealing"/>
      <sheetName val="J.Vs"/>
      <sheetName val="HFX Retail Overheads"/>
      <sheetName val="BOS Retail Overheads"/>
      <sheetName val="TOT Retail Overheads"/>
      <sheetName val="Retail Bank TOT"/>
      <sheetName val="Retail Bank (BOS) TOT"/>
      <sheetName val="Retail Bank (HFX) TOT"/>
      <sheetName val="TDBB"/>
      <sheetName val="Retail Bank TOT (TDBB)"/>
      <sheetName val="Module2"/>
      <sheetName val="Module1"/>
      <sheetName val="Module3"/>
      <sheetName val="BExRepositorySheet"/>
      <sheetName val="SUMMARY_GSEM"/>
      <sheetName val="P&amp;L Details GSEM"/>
      <sheetName val="GSEM &amp; DSO PAMT Details"/>
      <sheetName val="GSEM"/>
      <sheetName val="GSEM_C"/>
      <sheetName val="DSO"/>
      <sheetName val="ND"/>
      <sheetName val="Allgemeine Daten"/>
      <sheetName val="Latente Steuern"/>
      <sheetName val="Tax Proof"/>
      <sheetName val="Bilanz (2)"/>
      <sheetName val="G+V (2)"/>
      <sheetName val="Eigenkapital u. Rückst."/>
      <sheetName val="Abstimmblatt"/>
      <sheetName val="Anlagenspiegel"/>
      <sheetName val="G+V"/>
      <sheetName val="Fristigkeiten"/>
      <sheetName val="Neubewertungsrücklage"/>
      <sheetName val="Veränd.NBWRL"/>
      <sheetName val="Spezialfonds"/>
      <sheetName val="Rohdatenbank"/>
      <sheetName val="Tabelle15"/>
      <sheetName val="Tabelle16"/>
      <sheetName val="Header &amp; Control"/>
      <sheetName val="Documentation"/>
      <sheetName val="UKRB Route Map"/>
      <sheetName val="Transaction B"/>
      <sheetName val="S, I &amp; P"/>
      <sheetName val="CB Other"/>
      <sheetName val="Cards"/>
      <sheetName val="Loans"/>
      <sheetName val="C&amp;G"/>
      <sheetName val="LTSBS"/>
      <sheetName val="Wealth"/>
      <sheetName val="Community Bank"/>
      <sheetName val="NFGS"/>
      <sheetName val="Grp Mktg"/>
      <sheetName val="Central Functions"/>
      <sheetName val="UKRB Other"/>
      <sheetName val="TP Consol etc"/>
      <sheetName val="Global Inputs"/>
      <sheetName val="KPI Dbase"/>
      <sheetName val="SIP Drivers"/>
      <sheetName val="TB Drivers"/>
      <sheetName val="Cards Drivers"/>
      <sheetName val="Loans Drivers"/>
      <sheetName val="C&amp;G Drivers"/>
      <sheetName val="Wealth Drivers"/>
      <sheetName val="Com Bank Drivers"/>
      <sheetName val="Dbase"/>
      <sheetName val="Lookups"/>
      <sheetName val="CODE"/>
      <sheetName val="Budget 1"/>
      <sheetName val="CRITERIA1"/>
      <sheetName val="displays"/>
      <sheetName val="BAU"/>
      <sheetName val="Inv"/>
      <sheetName val="all data"/>
      <sheetName val="TP IDs"/>
      <sheetName val="Manual Amendment"/>
      <sheetName val="charge types"/>
      <sheetName val="data sets"/>
      <sheetName val="months"/>
      <sheetName val="DT_Active"/>
      <sheetName val="DT_Base"/>
      <sheetName val="DT_Guar"/>
      <sheetName val="DT_Unjust"/>
      <sheetName val="DT_Rules"/>
      <sheetName val="&lt;&lt;&lt;Used in Macro"/>
      <sheetName val="Losses"/>
      <sheetName val="T5"/>
      <sheetName val="T6"/>
      <sheetName val="Comparison"/>
      <sheetName val="DamSum - Cat"/>
      <sheetName val="DamSum - Theme"/>
      <sheetName val="Breakdown"/>
      <sheetName val="Breakdown_Ind"/>
      <sheetName val="IRR"/>
      <sheetName val="&lt;&lt;&lt;Tables for Report"/>
      <sheetName val="ScenarioRes"/>
      <sheetName val="Results_EP"/>
      <sheetName val="Results_EC"/>
      <sheetName val="GreenDamage"/>
      <sheetName val="&lt;&lt;&lt;Results"/>
      <sheetName val="ToC"/>
      <sheetName val="A1a"/>
      <sheetName val="A1b"/>
      <sheetName val="A1c"/>
      <sheetName val="A1d"/>
      <sheetName val="A2"/>
      <sheetName val="A3"/>
      <sheetName val="A4"/>
      <sheetName val="A5"/>
      <sheetName val="A6"/>
      <sheetName val="A7"/>
      <sheetName val="A8"/>
      <sheetName val="A9"/>
      <sheetName val="A9b"/>
      <sheetName val="A10"/>
      <sheetName val="A11"/>
      <sheetName val="A12"/>
      <sheetName val="A13"/>
      <sheetName val="A14"/>
      <sheetName val="A15"/>
      <sheetName val="Title"/>
      <sheetName val="Control"/>
      <sheetName val="B1"/>
      <sheetName val="B2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B13"/>
      <sheetName val="B14"/>
      <sheetName val="B15"/>
      <sheetName val="B16"/>
      <sheetName val="B17"/>
      <sheetName val="B18"/>
      <sheetName val="B19"/>
      <sheetName val="B20"/>
      <sheetName val="C1"/>
      <sheetName val="C2"/>
      <sheetName val="C3"/>
      <sheetName val="SLR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a"/>
      <sheetName val="D11b"/>
      <sheetName val="D12"/>
      <sheetName val="D13"/>
      <sheetName val="D14"/>
      <sheetName val="D15"/>
      <sheetName val="D16"/>
      <sheetName val="D17"/>
      <sheetName val="BS and CF (2)"/>
      <sheetName val="NWC"/>
      <sheetName val="Bul Govt Bond (2)"/>
      <sheetName val="EVN submission data &gt;&gt;"/>
      <sheetName val="EVN_2006"/>
      <sheetName val="отчет 2006г.Пловдив"/>
      <sheetName val="отчет 2006г. Ст.З."/>
      <sheetName val="Report_investments-2008-2012_2C"/>
      <sheetName val="EVN-ER-Справка 2C"/>
      <sheetName val="Investment_2013-2017_2D_var2"/>
      <sheetName val="AB3 Discount Model"/>
      <sheetName val="Underlying"/>
      <sheetName val="P&amp;L summary"/>
      <sheetName val="P&amp;L for Commentary"/>
      <sheetName val="Margins"/>
      <sheetName val="Non Product NII"/>
      <sheetName val="Capital Allocations"/>
      <sheetName val="Challenges"/>
      <sheetName val="Capital graphs"/>
      <sheetName val="EP by Unit 09"/>
      <sheetName val="EP Cur v Bud"/>
      <sheetName val="EP 09 v 08"/>
      <sheetName val="Balance Sheet by Unit 08"/>
      <sheetName val="Balance Sheet by Unit 09"/>
      <sheetName val="Balance Sheet by Unit Budget"/>
      <sheetName val="Balance Sheet 09 v 08"/>
      <sheetName val="Reg Capital by BU"/>
      <sheetName val="Reg Capital by BU 09v08"/>
      <sheetName val="EoE by Unit"/>
      <sheetName val="RWA by Unit"/>
      <sheetName val="RWA by Unit 09v08"/>
      <sheetName val="B2RWA by Unit"/>
      <sheetName val="Cost Analysis by Unit"/>
      <sheetName val="2009  Matrix"/>
      <sheetName val="Unsecured Imp"/>
      <sheetName val="Secured Imp"/>
      <sheetName val="BU story Cur v Prev"/>
      <sheetName val="BU story Cur v Prev (H1)"/>
      <sheetName val="BU story Fct v Bud"/>
      <sheetName val="BU story Fct v Bud H1"/>
      <sheetName val="BU story Fct v Act H1"/>
      <sheetName val="BU split Fct"/>
      <sheetName val="BU split Fct (H1)"/>
      <sheetName val="BU split Fct (H2)"/>
      <sheetName val="BU split Bud"/>
      <sheetName val="UKRB Consol"/>
      <sheetName val="Cardnet"/>
      <sheetName val="Cons Lend"/>
      <sheetName val="TB"/>
      <sheetName val="Consumer Bank"/>
      <sheetName val="SIP"/>
      <sheetName val="C&amp;G Mort"/>
      <sheetName val="C&amp;G Sav"/>
      <sheetName val="M&amp;S"/>
      <sheetName val="Tel Bank"/>
      <sheetName val="Internet"/>
      <sheetName val="Direct Channels"/>
      <sheetName val="Comm Bank"/>
      <sheetName val="Marketing"/>
      <sheetName val="UKRB Director"/>
      <sheetName val="UKRB HR"/>
      <sheetName val="UKRB Risk"/>
      <sheetName val="Corp Subs"/>
      <sheetName val="Retail Div"/>
      <sheetName val="CXO"/>
      <sheetName val="Functions Central"/>
      <sheetName val="Mktg &amp; CF"/>
      <sheetName val="Central Items"/>
      <sheetName val="GapContingency"/>
      <sheetName val="Investment"/>
      <sheetName val="UKRB Overlays"/>
      <sheetName val="UKRB LTP"/>
      <sheetName val="UKRB Centre"/>
      <sheetName val="2009 Matrix"/>
      <sheetName val="2009 Matrix (Alt)"/>
      <sheetName val="NII"/>
      <sheetName val="OOI"/>
      <sheetName val="Total Income"/>
      <sheetName val="Direct Costs"/>
      <sheetName val="Charges In"/>
      <sheetName val="Gross Cost"/>
      <sheetName val="Charges Out"/>
      <sheetName val="Indirect Costs"/>
      <sheetName val="Total Costs"/>
      <sheetName val="Impairment"/>
      <sheetName val="PBT"/>
      <sheetName val="EP"/>
      <sheetName val="RWA"/>
      <sheetName val="Reg Cap"/>
      <sheetName val="Ave E Cap"/>
      <sheetName val="Spot E Cap"/>
      <sheetName val="Ave Balances"/>
      <sheetName val="Spot Balances"/>
      <sheetName val="RAROC"/>
      <sheetName val="Return on RWA"/>
      <sheetName val="AQR"/>
      <sheetName val="NIM"/>
      <sheetName val="FTE Spot"/>
      <sheetName val="FTE Ave"/>
      <sheetName val="Agency"/>
      <sheetName val="08 Average FTEs"/>
      <sheetName val="ID"/>
      <sheetName val="Direct Costs - Bud Pack"/>
      <sheetName val="P&amp;L summary (08 Pack)"/>
      <sheetName val="2009 Fin.Perf."/>
      <sheetName val="Underlying (LV For Mark Dowie)"/>
      <sheetName val="EP by Unit 08"/>
      <sheetName val="EP Cur v Prev"/>
      <sheetName val="EP 08 v 07"/>
      <sheetName val="Balance Sheet 08 v 07"/>
      <sheetName val="Phased Forecast"/>
      <sheetName val="BU story Cur v Prev (H2)"/>
      <sheetName val="BU story Fct v Bud (HY)"/>
      <sheetName val="BU Story 09 Prev v Cur"/>
      <sheetName val="BU Story 09 v 08"/>
      <sheetName val="BU Story 09 Revised v Mid Case"/>
      <sheetName val="UKRB FY"/>
      <sheetName val="Cards FY"/>
      <sheetName val="Cardnet FY"/>
      <sheetName val="Debit Card, ATM &amp; Travel FY"/>
      <sheetName val="Card &amp; Payments Central FY"/>
      <sheetName val="Cards &amp; Payments FY"/>
      <sheetName val="Cons Lend FY"/>
      <sheetName val="TB FY"/>
      <sheetName val="SIP FY"/>
      <sheetName val="CB Other FY"/>
      <sheetName val="CB FY"/>
      <sheetName val="C&amp;G Mort FY"/>
      <sheetName val="C&amp;G Sav FY"/>
      <sheetName val="C&amp;G FY"/>
      <sheetName val="LTSBS FY"/>
      <sheetName val="M&amp;S FY"/>
      <sheetName val="Wealth FY"/>
      <sheetName val="Tel Bank FY"/>
      <sheetName val="Comm Bank FY"/>
      <sheetName val="GM FY"/>
      <sheetName val="UKRB Other FY"/>
      <sheetName val="UKRB Central Functions FY"/>
      <sheetName val="UKRB Central Items FY"/>
      <sheetName val="UKRB LTP FY"/>
      <sheetName val="UKRB Adjustments FY"/>
      <sheetName val="2009 Matrix (2)"/>
      <sheetName val="Ave Lending"/>
      <sheetName val="Ave Deposits"/>
      <sheetName val="Spot Lending"/>
      <sheetName val="Spot Deposits"/>
      <sheetName val="FTE"/>
      <sheetName val="Structure Rec"/>
      <sheetName val="EOE Checker"/>
      <sheetName val="Transition"/>
      <sheetName val="UKRB Plan (Exc Gaps)"/>
      <sheetName val="Q2 MTP gaps"/>
      <sheetName val="UKRB Plan"/>
      <sheetName val="Cards Plan"/>
      <sheetName val="Cardnet Plan"/>
      <sheetName val="Debit Card, ATM &amp; Travel Plan"/>
      <sheetName val="Card &amp; Payments Central Plan"/>
      <sheetName val="Cards &amp; Payments Plan"/>
      <sheetName val="CL Plan"/>
      <sheetName val="TB Plan"/>
      <sheetName val="SIP Plan"/>
      <sheetName val="CB Other Plan"/>
      <sheetName val="CB Plan"/>
      <sheetName val="C&amp;G Mort Plan"/>
      <sheetName val="C&amp;G Sav Plan"/>
      <sheetName val="C&amp;G Plan"/>
      <sheetName val="LTSBS Plan"/>
      <sheetName val="M&amp;S Plan"/>
      <sheetName val="Wealth Plan"/>
      <sheetName val="Tel Bank Plan"/>
      <sheetName val="Comm Bank Plan"/>
      <sheetName val="GM Plan"/>
      <sheetName val="UKRB Other Plan"/>
      <sheetName val="UKRB Central Functions Plan"/>
      <sheetName val="UKRB Central Items Plan"/>
      <sheetName val="UKRB Adjustments Plan"/>
      <sheetName val="Div Story % CAGR v CAGR"/>
      <sheetName val="Div Story 10 Prev v Cur"/>
      <sheetName val="Div Story 11 Prev v Cur"/>
      <sheetName val="MTP - Cur v Prev"/>
      <sheetName val="UKRB Plan (2)"/>
      <sheetName val="Cards &amp; Payments Plan (2)"/>
      <sheetName val="CB Plan (2)"/>
      <sheetName val="C&amp;G Plan (2)"/>
      <sheetName val="LTSBS Plan (2)"/>
      <sheetName val="Wealth Plan (2)"/>
      <sheetName val="Income by Unit"/>
      <sheetName val="Direct Costs by Unit"/>
      <sheetName val="Charges In by Unit"/>
      <sheetName val="Charges Out by Unit"/>
      <sheetName val="Net Costs by Unit"/>
      <sheetName val="Impairment by Unit"/>
      <sheetName val="PBT by Unit"/>
      <sheetName val="Reg Capital by Unit"/>
      <sheetName val="Ave Lending by Unit"/>
      <sheetName val="Ave Deposits by Unit"/>
      <sheetName val="AQR by Unit"/>
      <sheetName val="FTE by Unit"/>
      <sheetName val="Agency by Unit"/>
      <sheetName val="UKRB Director FY"/>
      <sheetName val="UKRB HR Director FY"/>
      <sheetName val="Credit Risk FY"/>
      <sheetName val="CorpSubs &amp; Ins FY"/>
      <sheetName val="Legal&amp;Reg Director FY"/>
      <sheetName val="C&amp;S Finance FY"/>
      <sheetName val="CXO FY"/>
      <sheetName val="Functions Central FY"/>
      <sheetName val="UKRB Centre FY"/>
      <sheetName val="Drivers of Growth"/>
      <sheetName val="Workings for commentary"/>
      <sheetName val="Divisional drivers"/>
      <sheetName val="Data for Slides"/>
      <sheetName val="Pack 1"/>
      <sheetName val="PMU Slides"/>
      <sheetName val="FC v Prev FC Charts"/>
      <sheetName val="P&amp;L by BU Chart"/>
      <sheetName val="AQR by BU Chart"/>
      <sheetName val="Year on Year Analysis"/>
      <sheetName val="2005A"/>
      <sheetName val="2005B"/>
      <sheetName val="2006A"/>
      <sheetName val="2006B"/>
      <sheetName val="2006"/>
      <sheetName val="2006Q2"/>
      <sheetName val="One-offs"/>
      <sheetName val="sales"/>
      <sheetName val="PMU_Dbase"/>
      <sheetName val="Markets Yesterday"/>
      <sheetName val="Markets Today"/>
      <sheetName val="Opec Basket"/>
      <sheetName val="Forward Indications"/>
      <sheetName val="ExchangePrices"/>
      <sheetName val="Marketer"/>
      <sheetName val="Help"/>
      <sheetName val="Recipients"/>
      <sheetName val="Historic Data"/>
      <sheetName val="market feeds"/>
      <sheetName val="Flexible"/>
      <sheetName val="Quarters"/>
      <sheetName val="Ess int rec (new) (2)"/>
      <sheetName val="Ess int rec (new) (3)"/>
      <sheetName val="change log"/>
      <sheetName val="Input Sheet"/>
      <sheetName val="NIM (MRTP)"/>
      <sheetName val="FTP Essbase jnl"/>
      <sheetName val=" checks"/>
      <sheetName val="Margin Links"/>
      <sheetName val="RM acts"/>
      <sheetName val="RM prior mnth"/>
      <sheetName val="Business Bkg"/>
      <sheetName val="GFPM Actuals"/>
      <sheetName val="Treas ICL"/>
      <sheetName val="Ess Liq Fee jnl"/>
      <sheetName val="Wholesale Liq Fee"/>
      <sheetName val="Retail Liq Fee"/>
      <sheetName val="MRTP ICL adj"/>
      <sheetName val="Div bals"/>
      <sheetName val="HBOS bals"/>
      <sheetName val="Stat bals"/>
      <sheetName val="stat Adj's"/>
      <sheetName val="Retail bals"/>
      <sheetName val="coms prior yr"/>
      <sheetName val="orgs prior year"/>
      <sheetName val="com's jan"/>
      <sheetName val="org's jan"/>
      <sheetName val="com's feb"/>
      <sheetName val="org's feb"/>
      <sheetName val="com's mar"/>
      <sheetName val="org's mar"/>
      <sheetName val="com's apr"/>
      <sheetName val="org's apr"/>
      <sheetName val="com's may"/>
      <sheetName val="org's may"/>
      <sheetName val="com's june"/>
      <sheetName val="org's june"/>
      <sheetName val="com's july"/>
      <sheetName val="org's july"/>
      <sheetName val="com's aug"/>
      <sheetName val="org's aug"/>
      <sheetName val="com's sep"/>
      <sheetName val="org's sep"/>
      <sheetName val="com's oct"/>
      <sheetName val="org's oct"/>
      <sheetName val="com's nov"/>
      <sheetName val="org's nov"/>
      <sheetName val="com's dec"/>
      <sheetName val="org's dec"/>
      <sheetName val="ess (other)"/>
      <sheetName val="Ess HBOSTS bals"/>
      <sheetName val="Ess int rec (new)"/>
      <sheetName val="Ess int pay (new)"/>
      <sheetName val="Ess sub sec int"/>
      <sheetName val="Ess sector YTD"/>
      <sheetName val="Ess offshore int"/>
      <sheetName val="Ess NIM (new)"/>
      <sheetName val="PBT Report"/>
      <sheetName val="FY Summary"/>
      <sheetName val="HY Summary"/>
      <sheetName val="Journal - proposed"/>
      <sheetName val="Ess HBOSTS int"/>
      <sheetName val="treas av adj"/>
      <sheetName val="co's &amp; org's"/>
      <sheetName val="HBOSTS"/>
      <sheetName val="Prev Yr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CF Asset Bals"/>
      <sheetName val="Ess int pay (new) (2)"/>
      <sheetName val="Ess int rec (new) (4)"/>
      <sheetName val="Total LBG"/>
      <sheetName val="LBG Consumer Banking"/>
      <sheetName val="LBG Cards"/>
      <sheetName val="LBG Cardnet"/>
      <sheetName val="LBG Loans"/>
      <sheetName val="LBG TB"/>
      <sheetName val="LBG CB Consol"/>
      <sheetName val="LBG CB Other"/>
      <sheetName val="LBG Savings"/>
      <sheetName val="LBG Mortgages"/>
      <sheetName val="LBG Direct Channels"/>
      <sheetName val="LBG Community Bank"/>
      <sheetName val="LBG Other"/>
      <sheetName val="LBG Mktg"/>
      <sheetName val="LBG CF"/>
      <sheetName val="LBG Retail Director"/>
      <sheetName val="LBG HR"/>
      <sheetName val="LBG Risk"/>
      <sheetName val="LBG Corp Subs"/>
      <sheetName val="LBG Retail Finance"/>
      <sheetName val="LBG CXO"/>
      <sheetName val="LBG Functions Other"/>
      <sheetName val="LBG Retail Centre"/>
      <sheetName val="LBG Gaps &amp; Contingencies"/>
      <sheetName val="LBG Centre Other"/>
      <sheetName val="Total LTSB"/>
      <sheetName val="Consumer Banking"/>
      <sheetName val="CB TP Consol"/>
      <sheetName val="Savings"/>
      <sheetName val="LTSB Savings"/>
      <sheetName val="Investment &amp; Protection"/>
      <sheetName val="Mortgages"/>
      <sheetName val="C&amp;G Mortgages"/>
      <sheetName val="C&amp;G Savings"/>
      <sheetName val="ScottishWidows"/>
      <sheetName val="LTSB Scotland"/>
      <sheetName val="C&amp;G Mortgages &amp; Savings"/>
      <sheetName val="GM"/>
      <sheetName val="CF"/>
      <sheetName val="Retail Director"/>
      <sheetName val="HR"/>
      <sheetName val="Risk"/>
      <sheetName val="Finance"/>
      <sheetName val="Functions Other"/>
      <sheetName val="Retail Centre"/>
      <sheetName val="Gaps &amp; Contingencies"/>
      <sheetName val="Original Gap"/>
      <sheetName val="Overlay 1"/>
      <sheetName val="Overlay 2"/>
      <sheetName val="Overlay 3"/>
      <sheetName val="Overlay 4"/>
      <sheetName val="Overlay 5"/>
      <sheetName val="Overlay 6"/>
      <sheetName val="Overlay 7"/>
      <sheetName val="Overlay 8"/>
      <sheetName val="Centre Other"/>
      <sheetName val="TP Consol"/>
      <sheetName val="LTP"/>
      <sheetName val="HBOS Total"/>
      <sheetName val="HBOS Consumer Banking"/>
      <sheetName val="HBOS Cards"/>
      <sheetName val="HBOS Cardnet"/>
      <sheetName val="HBOS Loans"/>
      <sheetName val="HBOS TB"/>
      <sheetName val="HBOS CB TP"/>
      <sheetName val="HBOS CB Other"/>
      <sheetName val="HBOS Savings"/>
      <sheetName val="HBOS Savings (1)"/>
      <sheetName val="HBOS Savings (2)"/>
      <sheetName val="HBOS Mortgages"/>
      <sheetName val="HBOS Direct Channels"/>
      <sheetName val="HBOS Community Bank"/>
      <sheetName val="HBOS Other"/>
      <sheetName val="HBOS Mktg"/>
      <sheetName val="HBOS CF"/>
      <sheetName val="HBOS Retail Director"/>
      <sheetName val="HBOS HR"/>
      <sheetName val="HBOS Risk"/>
      <sheetName val="HBOS Corp Subs"/>
      <sheetName val="HBOS Finance"/>
      <sheetName val="HBOS CXO"/>
      <sheetName val="HBOS Functions Other"/>
      <sheetName val="HBOS Retail Centre"/>
      <sheetName val="HBOS Gaps &amp; Contingencies"/>
      <sheetName val="HBOS Centre"/>
      <sheetName val="HBOS Overlay 1"/>
      <sheetName val="HBOS Overlay 2"/>
      <sheetName val="HBOS Overlay 3"/>
      <sheetName val="HBOS Overlay 4"/>
      <sheetName val="HBOS Overlay 5"/>
      <sheetName val="HBOS Overlay 6"/>
      <sheetName val="HBOS Overlay 7"/>
      <sheetName val="HBOS Overlay 8"/>
      <sheetName val="HBOS Centre Other"/>
      <sheetName val="HBOS Centre 1"/>
      <sheetName val="HBOS Centre 2"/>
      <sheetName val="HBOS Centre 3"/>
      <sheetName val="HBOS Centre 4"/>
      <sheetName val="LBG KPIs excl.Wealth"/>
      <sheetName val="LTSB KPIs excl.Wealth"/>
      <sheetName val="HBOS KPIs excl.Wealth"/>
      <sheetName val="Mini P&amp;LLTSB"/>
      <sheetName val="Mini P&amp;L"/>
      <sheetName val="Mini P&amp;L H1 &amp; H2 split"/>
      <sheetName val="1000 day plan"/>
      <sheetName val="Mini P&amp;L with synergies"/>
      <sheetName val="Ave Deposit"/>
      <sheetName val="RATE VOLUME"/>
      <sheetName val="Spot Deposit"/>
      <sheetName val="Spot Net Lending"/>
      <sheetName val="Expected Loss"/>
      <sheetName val="SVA"/>
      <sheetName val="Q1 updates"/>
      <sheetName val="P&amp;L Movements - Mark"/>
      <sheetName val="Underlying Cost"/>
      <sheetName val="Impairment slide"/>
      <sheetName val="Summary Analysis"/>
      <sheetName val="FY - Bud v PY Act"/>
      <sheetName val="FY - Cur Fct v Bud"/>
      <sheetName val="Net Charges"/>
      <sheetName val="Month Analysis"/>
      <sheetName val="Current Month v Budget"/>
      <sheetName val="YTD v Budget"/>
      <sheetName val="Current Month v PY"/>
      <sheetName val="YTD v PY"/>
      <sheetName val="BU Analysis"/>
      <sheetName val="Consumer Lending"/>
      <sheetName val="Transaction Banking"/>
      <sheetName val="Cards &amp; Cardnet"/>
      <sheetName val="Telephone Bank"/>
      <sheetName val="UKRB Central"/>
      <sheetName val="Trend Analysis"/>
      <sheetName val="BU Charges In (Total)"/>
      <sheetName val="UKRB CI by Principal"/>
      <sheetName val="BU Charges Out (Total)"/>
      <sheetName val="UKRB CO by CP"/>
      <sheetName val="Data Sheets"/>
      <sheetName val="Data CI"/>
      <sheetName val="Data CO"/>
      <sheetName val="WMI"/>
      <sheetName val="AW"/>
      <sheetName val="WCX"/>
      <sheetName val="WI"/>
      <sheetName val="CW"/>
      <sheetName val="RSG"/>
      <sheetName val="Expense Adjustments"/>
      <sheetName val="Medoc Detail"/>
      <sheetName val="compsge"/>
      <sheetName val="COURS0702"/>
      <sheetName val="Données Spéc."/>
      <sheetName val="Hyp"/>
      <sheetName val="Detailed Sauternes Case"/>
      <sheetName val="Source graph comps"/>
      <sheetName val="Valo Medoc Case"/>
      <sheetName val="Sauternes_Case"/>
      <sheetName val="Medoc FY US$"/>
      <sheetName val="Medoc CY US$"/>
      <sheetName val="UKRB"/>
      <sheetName val="Credit Risk"/>
      <sheetName val="Decision Sciences"/>
      <sheetName val="CL Other"/>
      <sheetName val="CL Consol Adj"/>
      <sheetName val="Cons Bank"/>
      <sheetName val="Savings, Inv &amp; P"/>
      <sheetName val="CB TP Adj"/>
      <sheetName val="Scot Mortgages"/>
      <sheetName val="Evolve"/>
      <sheetName val="Group Marketing"/>
      <sheetName val="Other"/>
      <sheetName val="Gap"/>
      <sheetName val="P&amp;L by Unit"/>
      <sheetName val="SpotBals by Unit"/>
      <sheetName val="AvBals by Unit"/>
      <sheetName val="EP MTP"/>
      <sheetName val="Balance Sheet Trend"/>
      <sheetName val="Balance Sheet Q4 v Q3"/>
      <sheetName val="Balance Sheet MTP"/>
      <sheetName val="Total Income by Unit"/>
      <sheetName val="CI by Unit"/>
      <sheetName val="Gross Costs by Unit"/>
      <sheetName val="CO by Unit"/>
      <sheetName val="Total Costs by Unit"/>
      <sheetName val="Total Impairment by Unit"/>
      <sheetName val="EP by Unit"/>
      <sheetName val="Bals by Unit"/>
      <sheetName val="Spot Bals by Unit"/>
      <sheetName val="Plan v Plan Graph UKRB"/>
      <sheetName val="Plan v Plan Graph C&amp;P"/>
      <sheetName val="Plan v Plan Graph TB"/>
      <sheetName val="Plan v Plan Graph SIP"/>
      <sheetName val="Plan v Plan Graph CL"/>
      <sheetName val="Plan v Plan Graph CB"/>
      <sheetName val="Plan v Plan Graph C&amp;G"/>
      <sheetName val="Plan v Plan Graph Scot"/>
      <sheetName val="Plan v Plan Graph Wealth"/>
      <sheetName val="Plan v Plan Graph Tel Banking"/>
      <sheetName val="Plan v Plan Graph Comm Bank"/>
      <sheetName val="Plan v Plan Graph Central Funct"/>
      <sheetName val="Plan v Plan Graph GM"/>
      <sheetName val="Plan v Plan Graph UKRB Other"/>
      <sheetName val="Plan v Q2 Plan Graph UKRB"/>
      <sheetName val="Plan v Q2 Plan Graph C&amp;P"/>
      <sheetName val="Plan v Q2 Plan Graph TB"/>
      <sheetName val="Plan v Q2 Plan Graph SIP"/>
      <sheetName val="Plan v Q2 Plan Graph CL"/>
      <sheetName val="Plan v Q2 Plan Graph CB"/>
      <sheetName val="Plan v Prev Plan Graph C&amp;G"/>
      <sheetName val="Plan v Q2 Plan Graph Scot"/>
      <sheetName val="Plan v Q2 Plan Graph Wealth"/>
      <sheetName val="Plan v Q2 Plan Graph Tel Bank"/>
      <sheetName val="Plan v Q2 Plan Graph Comm Bank"/>
      <sheetName val="Plan v Q2 Plan Graph CF"/>
      <sheetName val="Plan v Q2 Plan Graph GM"/>
      <sheetName val="Plan v Q2 Plan Graph UKRB Oth"/>
      <sheetName val="UKRB YoY %"/>
      <sheetName val="C&amp;P YoY %"/>
      <sheetName val="CB YoY %"/>
      <sheetName val="C&amp;G YoY %"/>
      <sheetName val="LTSBS YoY %"/>
      <sheetName val="Wealth YoY %"/>
      <sheetName val="Div Story CAGR v CAGR"/>
      <sheetName val="Market Growth"/>
      <sheetName val="Jaws"/>
      <sheetName val="Ave IEA"/>
      <sheetName val="B2 RWA"/>
      <sheetName val="PBT by Unit (Inc Bottle)"/>
      <sheetName val="Plan v Plan Graph UKRB(Inc Bot)"/>
      <sheetName val="Plan v Plan Graph C&amp;G (Inc Bot)"/>
      <sheetName val="DSUM1"/>
      <sheetName val="ActDWNLDmth"/>
      <sheetName val="ActDWNLDytd"/>
      <sheetName val="Instructions"/>
      <sheetName val="BS"/>
      <sheetName val="P&amp;L"/>
      <sheetName val="Balances"/>
      <sheetName val="PLYTD"/>
      <sheetName val="KPI"/>
      <sheetName val="KPIData"/>
      <sheetName val="Rec Dep Bal"/>
      <sheetName val="Rec Dep Bal Copy"/>
      <sheetName val="Rec Acc Int"/>
      <sheetName val="Table000208"/>
      <sheetName val="Table000209"/>
      <sheetName val="Switches"/>
      <sheetName val="Damages_CY"/>
      <sheetName val="A0"/>
      <sheetName val="A1"/>
      <sheetName val="A2_6y"/>
      <sheetName val="A2_noINFL"/>
      <sheetName val="Inflation-&gt;"/>
      <sheetName val="WACC-&gt;"/>
      <sheetName val="Tmemo"/>
      <sheetName val="Beta-&gt;"/>
      <sheetName val="C13"/>
      <sheetName val="C14"/>
      <sheetName val="C15"/>
      <sheetName val="C16"/>
      <sheetName val="C17"/>
      <sheetName val="RAB-&gt;"/>
      <sheetName val="D2_14"/>
      <sheetName val="D2_17"/>
      <sheetName val="Gázmérleg - 2013"/>
      <sheetName val="gross assets_31.12.2014 Engie"/>
      <sheetName val="Network contribution Engie"/>
      <sheetName val="D11"/>
      <sheetName val="Raw data A-&gt;"/>
      <sheetName val="AP_WACC"/>
      <sheetName val="Engie_WACC"/>
      <sheetName val="Raw data B-&gt;"/>
      <sheetName val="Weights data"/>
      <sheetName val="Inflation data"/>
      <sheetName val="Raw data C-&gt;"/>
      <sheetName val="MNB data-&gt;"/>
      <sheetName val="BUX index"/>
      <sheetName val="Auctions"/>
      <sheetName val="Benchmark yields"/>
      <sheetName val="KSH data-&gt;"/>
      <sheetName val="CPI 12 months"/>
      <sheetName val="CPI monthly"/>
      <sheetName val="CPI index"/>
      <sheetName val="BSE data-&gt;"/>
      <sheetName val="BUX"/>
      <sheetName val="BUX composition"/>
      <sheetName val="Bloomberg data-&gt;"/>
      <sheetName val="5Y Bond Bloom data"/>
      <sheetName val="Betas2014"/>
      <sheetName val="Betas2010"/>
      <sheetName val="NET_DEBT"/>
      <sheetName val="MKT_CAP"/>
      <sheetName val="PX_LAST"/>
      <sheetName val="SH_OUT"/>
      <sheetName val="LT_BORROW"/>
      <sheetName val="ST_BORROW"/>
      <sheetName val="CASH"/>
      <sheetName val="Raw data D-&gt;"/>
      <sheetName val="EA15 PPIt"/>
      <sheetName val="EA19+15 IPI"/>
      <sheetName val="EA18 PPI"/>
      <sheetName val="EA19 PPI"/>
      <sheetName val="Forex data"/>
      <sheetName val="Original Gross wages"/>
      <sheetName val="Original Net wages"/>
      <sheetName val="New gross wages"/>
      <sheetName val="New net wages"/>
      <sheetName val="RAB Interauditor"/>
      <sheetName val="MNB detailed forecasts"/>
      <sheetName val="Other data-&gt;"/>
      <sheetName val="Tax rates"/>
      <sheetName val="Client's data-&gt;"/>
      <sheetName val="Methodology"/>
      <sheetName val="Hungarian WACC"/>
      <sheetName val="2016_09_05_Estimated_Losses_Ret"/>
      <sheetName val="LOC"/>
      <sheetName val="Commentary"/>
      <sheetName val="HistoricData"/>
      <sheetName val="ForwardData"/>
      <sheetName val="FwdIndications"/>
      <sheetName val="GraphData"/>
      <sheetName val="FX"/>
      <sheetName val="MonthlyFX"/>
      <sheetName val="QuarterlyFX"/>
      <sheetName val="Flows"/>
      <sheetName val="Balance Sheet"/>
      <sheetName val="GAS_061301"/>
      <sheetName val="GEE_061301"/>
      <sheetName val="B(Assump)"/>
      <sheetName val="GEE0901"/>
      <sheetName val="X"/>
      <sheetName val="M"/>
      <sheetName val="T-T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Fedolap"/>
      <sheetName val="KZP_Output_KTJ"/>
      <sheetName val="KZP_Output_Cash_flow"/>
      <sheetName val="KZP_Output_Eredmény"/>
      <sheetName val="KZP_Output_Mérleg"/>
      <sheetName val="HFX Assumptions"/>
      <sheetName val="BOS Assumptions"/>
      <sheetName val="BOS Matched Funds"/>
      <sheetName val="LiqFee"/>
      <sheetName val="HFX Actuals"/>
      <sheetName val="BOS Actuals"/>
      <sheetName val="Mound"/>
      <sheetName val="BOS Mtgs (incl. Mound f'cast)"/>
      <sheetName val="SJPB"/>
      <sheetName val="TOT IF &amp; SJPB "/>
      <sheetName val="TOT Sharedealing"/>
      <sheetName val="New HFX MRTP"/>
      <sheetName val="New BOS MRTP"/>
      <sheetName val="Links"/>
      <sheetName val="CA"/>
      <sheetName val="CA-Income"/>
      <sheetName val="CK"/>
      <sheetName val="GSZa"/>
      <sheetName val="GSZme"/>
      <sheetName val="GSZtny"/>
      <sheetName val="GSZtavho"/>
      <sheetName val="GSZtavho (T)"/>
      <sheetName val="ohtavho"/>
      <sheetName val="ohtavho (T)"/>
      <sheetName val="tavhokorr"/>
      <sheetName val="tavho"/>
      <sheetName val="tavhokorr (2)"/>
      <sheetName val="tavho (2)"/>
      <sheetName val="kompl2"/>
      <sheetName val="arak"/>
      <sheetName val="hatásvi&lt;20"/>
      <sheetName val="hatásvi20-100"/>
      <sheetName val="hatásvi&gt;100"/>
      <sheetName val="fogyfv"/>
      <sheetName val="osszhas"/>
      <sheetName val="ohtavho (2)"/>
      <sheetName val="98jan"/>
      <sheetName val="98janábra"/>
      <sheetName val="ohsav"/>
      <sheetName val="jelang"/>
      <sheetName val="kompl2ang"/>
      <sheetName val="GSZtavho_(T)2"/>
      <sheetName val="ohtavho_(T)2"/>
      <sheetName val="tavhokorr_(2)2"/>
      <sheetName val="tavho_(2)2"/>
      <sheetName val="ohtavho_(2)2"/>
      <sheetName val="GSZtavho_(T)"/>
      <sheetName val="ohtavho_(T)"/>
      <sheetName val="tavhokorr_(2)"/>
      <sheetName val="tavho_(2)"/>
      <sheetName val="ohtavho_(2)"/>
      <sheetName val="GSZtavho_(T)1"/>
      <sheetName val="ohtavho_(T)1"/>
      <sheetName val="tavhokorr_(2)1"/>
      <sheetName val="tavho_(2)1"/>
      <sheetName val="ohtavho_(2)1"/>
      <sheetName val="DIS"/>
      <sheetName val="AMO"/>
      <sheetName val="INFO"/>
      <sheetName val="HBOS NPA's"/>
      <sheetName val="BOS NPA's"/>
      <sheetName val="Halifax NPA's"/>
      <sheetName val="SI_UI"/>
      <sheetName val="Work Sheet"/>
      <sheetName val="TREND CHART"/>
      <sheetName val="Banking"/>
      <sheetName val="PLoans"/>
      <sheetName val="CreditCr"/>
      <sheetName val="LTS"/>
      <sheetName val="Treasury"/>
      <sheetName val="RM"/>
      <sheetName val="HMRL"/>
      <sheetName val="Group"/>
      <sheetName val="Markets"/>
      <sheetName val="CAR Working"/>
      <sheetName val="Reconcilation of Submission"/>
      <sheetName val="Manpower Plan v Q1f"/>
      <sheetName val="Manpower"/>
      <sheetName val="Trends Annual Q1F"/>
      <sheetName val="Trends Annual"/>
      <sheetName val="P&amp;L Captions"/>
      <sheetName val="Trends by Month"/>
      <sheetName val="Trends by Month Q1F"/>
      <sheetName val="Essbase totals Q1F"/>
      <sheetName val="Essbase FTE Q1F"/>
      <sheetName val="Essbase Remu Q1F"/>
      <sheetName val="Essbase totals"/>
      <sheetName val="Essbase FTE"/>
      <sheetName val="Essbase Remu"/>
      <sheetName val="Essbase exp trend"/>
      <sheetName val="Essbase Remutrend"/>
      <sheetName val="Essbase totals 2007"/>
      <sheetName val="Essbase Remu2007"/>
      <sheetName val="Essbase FTE 2007"/>
      <sheetName val="Next mth reqts"/>
      <sheetName val="Checks UKRB"/>
      <sheetName val="Checks M&amp;S "/>
      <sheetName val="Checks CL"/>
      <sheetName val="Checks Con Bkg"/>
      <sheetName val="Restructure check"/>
      <sheetName val="Cover Sheet"/>
      <sheetName val="UKRB P&amp;L"/>
      <sheetName val="UKRB NII"/>
      <sheetName val="UKRB OOI"/>
      <sheetName val="UKRB Direct Costs"/>
      <sheetName val="UKRB Impairment"/>
      <sheetName val="Variance Budget"/>
      <sheetName val="Consumer Banking P&amp;L"/>
      <sheetName val="M&amp;S P&amp;L"/>
      <sheetName val="CL P&amp;L"/>
      <sheetName val="Wealth P&amp;L"/>
      <sheetName val="Comm Banking P&amp;L"/>
      <sheetName val="GM P&amp;L"/>
      <sheetName val="NFGS P&amp;L"/>
      <sheetName val="UKRB Other P&amp;L"/>
      <sheetName val="CA P&amp;L"/>
      <sheetName val="CardsCreateGoldfish consol P&amp;L"/>
      <sheetName val="Cards P&amp;L"/>
      <sheetName val="Create P&amp;L"/>
      <sheetName val="Goldfish P&amp;L"/>
      <sheetName val="Cardnet P&amp;L"/>
      <sheetName val="Bank Savings P&amp;L"/>
      <sheetName val="Internet P&amp;L"/>
      <sheetName val="ATMs P&amp;L"/>
      <sheetName val="Int &amp; ATMs P&amp;L"/>
      <sheetName val="Total Travel P&amp;L"/>
      <sheetName val="Travel P&amp;L"/>
      <sheetName val="TCA P&amp;L "/>
      <sheetName val="Consumer Banking Other P&amp;L"/>
      <sheetName val="Cons Banking Other P&amp;L"/>
      <sheetName val="Consumer Banking TP"/>
      <sheetName val="C&amp;G Mortgages P&amp;L"/>
      <sheetName val="C&amp;G Savings P&amp;L"/>
      <sheetName val="C&amp;G consolidated P&amp;L"/>
      <sheetName val="Scotland Mortgages P&amp;L"/>
      <sheetName val="PL P&amp;L"/>
      <sheetName val="CL Other consol P&amp;L"/>
      <sheetName val="Total Decision Sciences P&amp;L"/>
      <sheetName val="CL Other P&amp;L"/>
      <sheetName val="UKRB Other CF P&amp;L"/>
      <sheetName val="UKRB Other Units P&amp;L"/>
      <sheetName val="UKRB Other Units P&amp;L March only"/>
      <sheetName val="UKRB Net Interest Income"/>
      <sheetName val="UKRB Indirect Costs"/>
      <sheetName val="UKRB Costs"/>
      <sheetName val="UKRB Impairment (PBT)"/>
      <sheetName val="UKRB PAT + EP"/>
      <sheetName val="CL Memo Analysis"/>
      <sheetName val="Con Bkg Memo Analysis Mar"/>
      <sheetName val="Con Bkg Memo Analysis"/>
      <sheetName val="M&amp;S Memo Analysis"/>
      <sheetName val="Variance MTD"/>
      <sheetName val="Variance YTD"/>
      <sheetName val="Variance FCT"/>
      <sheetName val="Variables"/>
      <sheetName val="Lookup"/>
      <sheetName val="Mth Bud Var"/>
      <sheetName val="Non Staff Base"/>
      <sheetName val="Non Staff Rel"/>
      <sheetName val="Savings &amp; Inv"/>
      <sheetName val="Transferring Businesses"/>
      <sheetName val="UKRB Other Analysis"/>
      <sheetName val="P&amp;L &amp; Key Metrics"/>
      <sheetName val="NII by unit"/>
      <sheetName val="OOI by unit"/>
      <sheetName val="Indirect Costs by unit"/>
      <sheetName val="Costs by unit"/>
      <sheetName val="Total FTE"/>
      <sheetName val="Balances by Unit"/>
      <sheetName val="Metric by Unit"/>
      <sheetName val="Margin by Unit"/>
      <sheetName val="NII Rate-Volume"/>
      <sheetName val="Impairment Quality-Volume"/>
      <sheetName val="2005a Actuals"/>
      <sheetName val="2005b Actuals"/>
      <sheetName val="2005 Actuals"/>
      <sheetName val="2006 YTD Actuals"/>
      <sheetName val="BW adj"/>
      <sheetName val="SpotdataBWNR"/>
      <sheetName val="SpotdataBW"/>
      <sheetName val="AvgDataBW"/>
      <sheetName val="FTEdataBW"/>
      <sheetName val="Bud"/>
      <sheetName val="2006a Budget"/>
      <sheetName val="2006b Budget"/>
      <sheetName val="2006 Budget"/>
      <sheetName val="Previous Forecast"/>
      <sheetName val="2006a Prev Forecast"/>
      <sheetName val="2006b Prev Forecast"/>
      <sheetName val="2006 Prev Forecast"/>
      <sheetName val="2008 Prev Plan"/>
      <sheetName val="2009 Prev Plan"/>
      <sheetName val="2010 Prev Plan"/>
      <sheetName val="Currrent Forecast"/>
      <sheetName val="2006a Cur Forecast"/>
      <sheetName val="2006b Cur Forecast"/>
      <sheetName val="2006 Cur Forecast"/>
      <sheetName val="Var Fct v Bud"/>
      <sheetName val="2008 Cur Plan"/>
      <sheetName val="2009 Cur Plan"/>
      <sheetName val="2010 Cur Plan"/>
      <sheetName val="FPB&amp;F adj"/>
      <sheetName val="PLData"/>
      <sheetName val="AVBalData"/>
      <sheetName val="PEBalData"/>
      <sheetName val="Import Data"/>
      <sheetName val="SWBank"/>
      <sheetName val="SWIP"/>
      <sheetName val="Forecast Analysis"/>
      <sheetName val="Data CI MTP"/>
      <sheetName val="06v07 Charges In - Cur Fct"/>
      <sheetName val="06v07 Charges In - Prev Fct"/>
      <sheetName val="2006 Charges In"/>
      <sheetName val="2007 Charges In"/>
      <sheetName val="06v07 Charges Out - Cur Fct"/>
      <sheetName val="06v07 Charges Out - Prev Fct"/>
      <sheetName val="2006 Charges Out"/>
      <sheetName val="2007 Charges Out"/>
      <sheetName val="Monthly Analysis"/>
      <sheetName val="2006 Actual Charges In YTD"/>
      <sheetName val="2006 Actual Charges Out YTD"/>
      <sheetName val="YTD - Act v Fct"/>
      <sheetName val="Mnth - Act v Fct"/>
      <sheetName val="Mnth - Act v Bud"/>
      <sheetName val="Mnth - Act v PY"/>
      <sheetName val="Total CI by CP"/>
      <sheetName val="Total CI by Principal"/>
      <sheetName val="Principal CI by CP"/>
      <sheetName val="Unit CI by Principal"/>
      <sheetName val="Total CO by CP"/>
      <sheetName val="Total CO by Principal"/>
      <sheetName val="Principal CO by CP"/>
      <sheetName val="Data CI Act05"/>
      <sheetName val="Data CI Act06"/>
      <sheetName val="Data CI Bud06"/>
      <sheetName val="Data CI PrevFct06"/>
      <sheetName val="Data CI CurFct06"/>
      <sheetName val="Data CI PrevMTP"/>
      <sheetName val="Data CO Act05"/>
      <sheetName val="Data CO Act06"/>
      <sheetName val="Data CO Bud06"/>
      <sheetName val="Data CO PrevFct06"/>
      <sheetName val="Data CO CurFct06"/>
      <sheetName val="Data CO PrevMTP"/>
      <sheetName val="Data CO MTP"/>
      <sheetName val="Myles_Loans_Query"/>
      <sheetName val="Index"/>
      <sheetName val="Storyboard1"/>
      <sheetName val="Storyboard2"/>
      <sheetName val="OutsideUKRB"/>
      <sheetName val="CBDirect"/>
      <sheetName val="PMUDirect"/>
      <sheetName val="CBIndirect"/>
      <sheetName val="PMUIndirect"/>
      <sheetName val="PMUView"/>
      <sheetName val="Breakdown1"/>
      <sheetName val="Breakdown2"/>
      <sheetName val="Breakdown3"/>
      <sheetName val="iGraph1"/>
      <sheetName val="iGraph2"/>
      <sheetName val="Main"/>
      <sheetName val="Names"/>
      <sheetName val="GrossSales"/>
      <sheetName val="Selection"/>
      <sheetName val="DirectData"/>
      <sheetName val="IndDataPMU"/>
      <sheetName val="IndDataCB"/>
      <sheetName val="Graphs Storyboard Extra"/>
      <sheetName val="Graphs Storyboard"/>
      <sheetName val="FTE data"/>
      <sheetName val="CB Direct Costs"/>
      <sheetName val="aCB"/>
      <sheetName val="bCB"/>
      <sheetName val="fCB"/>
      <sheetName val="pyCB"/>
      <sheetName val="f5"/>
      <sheetName val="py5"/>
      <sheetName val="f6"/>
      <sheetName val="py6"/>
      <sheetName val="f7"/>
      <sheetName val="py7"/>
      <sheetName val="f8"/>
      <sheetName val="py8"/>
      <sheetName val="f9"/>
      <sheetName val="py9"/>
      <sheetName val="aA"/>
      <sheetName val="bA"/>
      <sheetName val="fA"/>
      <sheetName val="pyA"/>
      <sheetName val="aB"/>
      <sheetName val="bB"/>
      <sheetName val="fB"/>
      <sheetName val="pyB"/>
      <sheetName val="aD"/>
      <sheetName val="bD"/>
      <sheetName val="fD"/>
      <sheetName val="pyD"/>
      <sheetName val="aF"/>
      <sheetName val="bF"/>
      <sheetName val="fF"/>
      <sheetName val="pyF"/>
      <sheetName val="aG"/>
      <sheetName val="bG"/>
      <sheetName val="fG"/>
      <sheetName val="pyG"/>
      <sheetName val="aH"/>
      <sheetName val="bH"/>
      <sheetName val="fH"/>
      <sheetName val="pyH"/>
      <sheetName val="aI"/>
      <sheetName val="bI"/>
      <sheetName val="fI"/>
      <sheetName val="pyI"/>
      <sheetName val="aJ"/>
      <sheetName val="bJ"/>
      <sheetName val="fJ"/>
      <sheetName val="pyJ"/>
      <sheetName val="aK"/>
      <sheetName val="bK"/>
      <sheetName val="fK"/>
      <sheetName val="pyK"/>
      <sheetName val="aL"/>
      <sheetName val="pyL"/>
      <sheetName val="aM"/>
      <sheetName val="fM"/>
      <sheetName val="pyM"/>
      <sheetName val="aQ"/>
      <sheetName val="bQ"/>
      <sheetName val="fQ"/>
      <sheetName val="pyQ"/>
      <sheetName val="aR"/>
      <sheetName val="bR"/>
      <sheetName val="fR"/>
      <sheetName val="pyR"/>
      <sheetName val="aS"/>
      <sheetName val="fS"/>
      <sheetName val="pyS"/>
      <sheetName val="aT"/>
      <sheetName val="bT"/>
      <sheetName val="fT"/>
      <sheetName val="pyT"/>
      <sheetName val="aU"/>
      <sheetName val="bU"/>
      <sheetName val="fU"/>
      <sheetName val="pyU"/>
      <sheetName val="aV"/>
      <sheetName val="bV"/>
      <sheetName val="fV"/>
      <sheetName val="pyV"/>
      <sheetName val="aY"/>
      <sheetName val="bY"/>
      <sheetName val="fY"/>
      <sheetName val="pyY"/>
      <sheetName val="aZ"/>
      <sheetName val="bZ"/>
      <sheetName val="fZ"/>
      <sheetName val="pyZ"/>
      <sheetName val="a66"/>
      <sheetName val="b66"/>
      <sheetName val="f66"/>
      <sheetName val="py66"/>
      <sheetName val="a99"/>
      <sheetName val="b99"/>
      <sheetName val="f99"/>
      <sheetName val="Current Week"/>
      <sheetName val="Trend"/>
      <sheetName val="Product Charts"/>
      <sheetName val="Avg Bal Mvmt"/>
      <sheetName val="Profile Vs Prior Yr"/>
      <sheetName val="Inputs"/>
      <sheetName val="Chart Data"/>
      <sheetName val="Data Bank Savings"/>
      <sheetName val="Run-Rate Calcs"/>
      <sheetName val="Weekality"/>
      <sheetName val="Forecast Information"/>
      <sheetName val="Data Bank Savings - historic"/>
      <sheetName val="Programs"/>
      <sheetName val="Model Explanation"/>
      <sheetName val="1. Results and Assumptions"/>
      <sheetName val="2. Impact Calculations"/>
      <sheetName val="3. LTSB ROCE Bridge Diagram"/>
      <sheetName val="3.1 Bridge Diagram - After Tax "/>
      <sheetName val="4. Bridge Diagram Calculations"/>
      <sheetName val="5. ROCE Bridge Diagram Econ 1st"/>
      <sheetName val="6. Tornado Diagram"/>
      <sheetName val="Supporting Calculations"/>
      <sheetName val="7. Deposit Margin Analysis"/>
      <sheetName val="8. LTSB Spreads"/>
      <sheetName val="9. Impairment Calculations"/>
      <sheetName val="10. LTSB - HBOS Split"/>
      <sheetName val="11. ICB Calculations"/>
      <sheetName val="12. Tangible Assets"/>
      <sheetName val="13. Volume Calculations"/>
      <sheetName val="14. Historic ROEC Accounting"/>
      <sheetName val="15. Intangible Assets"/>
      <sheetName val="LBG Data"/>
      <sheetName val="Net NII"/>
      <sheetName val="NII Income"/>
      <sheetName val="NII Cost"/>
      <sheetName val="LTSB P and L"/>
      <sheetName val="LTSB Summary Indirects"/>
      <sheetName val="LBG Interest Rates"/>
      <sheetName val="Banking Business"/>
      <sheetName val="PRIB Data"/>
      <sheetName val="LBG 2012 Accts Commercial"/>
      <sheetName val="Irrelevant Sheets"/>
      <sheetName val="Data Validation"/>
      <sheetName val="Payable"/>
      <sheetName val="Reconciliations"/>
      <sheetName val="Inflow"/>
      <sheetName val="Actuals"/>
      <sheetName val="graphs data"/>
      <sheetName val="Month"/>
      <sheetName val="YTD"/>
      <sheetName val="G Reserve"/>
      <sheetName val="Product Type"/>
      <sheetName val="Net Receipts by Month"/>
      <sheetName val="CyBank"/>
      <sheetName val="TelBank"/>
      <sheetName val="CI"/>
      <sheetName val="Background"/>
      <sheetName val="BESZ1FEV"/>
      <sheetName val="EGAZ DEGAZ history"/>
      <sheetName val="Merger revaluation"/>
      <sheetName val="EGAZ_DSO"/>
      <sheetName val="EGAZ_USP"/>
      <sheetName val="DEGAZ_USP"/>
      <sheetName val="DEGAZ_DSO"/>
      <sheetName val="DEGAZ_investments"/>
      <sheetName val="EGAZ_investments"/>
      <sheetName val="DEGAZ_analysis"/>
      <sheetName val="EGAZ_analysis"/>
      <sheetName val="DEGAZ KOFE"/>
      <sheetName val="EGAZ_Trade debtors"/>
      <sheetName val="DEGAZ_Trade debtors"/>
      <sheetName val="DEGAZ_Accrued_incomes"/>
      <sheetName val="EGAZ_Accrued_incomes"/>
      <sheetName val="EGAZ_FinStat"/>
      <sheetName val="DEGAZ_FinStat"/>
      <sheetName val="DEGAZ_IC_services"/>
      <sheetName val="EGAZ_IC_services"/>
      <sheetName val="Table of contents"/>
      <sheetName val="H.0. History"/>
      <sheetName val="H.1.1."/>
      <sheetName val="H.1.2."/>
      <sheetName val="H.2.1."/>
      <sheetName val="H.2.2."/>
      <sheetName val="H.2.3."/>
      <sheetName val="H.2.4."/>
      <sheetName val="H.3.1."/>
      <sheetName val="H.3.2."/>
      <sheetName val="H.3.3."/>
      <sheetName val="H.4.1."/>
      <sheetName val="H.4.2."/>
      <sheetName val="H.6."/>
      <sheetName val="H.8.1."/>
      <sheetName val="H.8.2."/>
      <sheetName val="F.1."/>
      <sheetName val="F.2."/>
      <sheetName val="F.3."/>
      <sheetName val="F.4."/>
      <sheetName val="Next steps"/>
      <sheetName val="LBO----&gt;"/>
      <sheetName val="Inputs LBO"/>
      <sheetName val="Shell LBO"/>
      <sheetName val="Output LBO"/>
      <sheetName val="Target IRR Output"/>
      <sheetName val="Scenarios"/>
      <sheetName val="Demand assumption"/>
      <sheetName val="Revenues"/>
      <sheetName val="Interruptible"/>
      <sheetName val="Firm"/>
      <sheetName val="Dynamic"/>
      <sheetName val="Compacs (EBITDA Mid 07E)"/>
      <sheetName val="Compacs (EBITDA 07E)"/>
      <sheetName val="EBITDA Bridge"/>
      <sheetName val="List"/>
      <sheetName val=" "/>
      <sheetName val="Conso&gt;&gt;"/>
      <sheetName val="Drivers Override"/>
      <sheetName val="Exit Analysis"/>
      <sheetName val="Sources &amp; Uses"/>
      <sheetName val="Cap Structure"/>
      <sheetName val="Snapshot"/>
      <sheetName val="Acquisitions"/>
      <sheetName val="Valuation &gt;&gt;"/>
      <sheetName val="LBO 2006"/>
      <sheetName val="LBO Mid 07"/>
      <sheetName val="LBO 2007"/>
      <sheetName val="Compcos (EBITDA 07E)"/>
      <sheetName val="Compcos (EBITDA Mid 08E)"/>
      <sheetName val="Compcos (EBITDA 08E)"/>
      <sheetName val="Compacs (EBITDA 06E)"/>
      <sheetName val="DCF End 06"/>
      <sheetName val="DCF End 07"/>
      <sheetName val="Valuation Summary End 06"/>
      <sheetName val="Valuation Summary End 07"/>
      <sheetName val="Imput Modules &gt;&gt;"/>
      <sheetName val="Scenarios &gt;&gt;"/>
      <sheetName val="Lists"/>
      <sheetName val="Divisional Control Panel"/>
      <sheetName val="Aerospace Scenarios"/>
      <sheetName val="IGT Scenarios"/>
      <sheetName val="DMT Scenarios"/>
      <sheetName val="DTC Scenarios"/>
      <sheetName val="Summaries&gt;&gt;&gt;"/>
      <sheetName val="Aerospace"/>
      <sheetName val="IGT"/>
      <sheetName val="DMT"/>
      <sheetName val="DTC"/>
      <sheetName val="IS"/>
      <sheetName val="Rev Build&gt;&gt;&gt;"/>
      <sheetName val="__FDSCACHE__"/>
      <sheetName val="Aerospace Rev Build Up"/>
      <sheetName val="IGT Revenue Build-Up"/>
      <sheetName val="DMT - Revenue Build-Up"/>
      <sheetName val="DTC Rev BU"/>
      <sheetName val="IS Revenue Build Up"/>
      <sheetName val="Conso&gt;&gt;&gt;"/>
      <sheetName val="BS Build Up"/>
      <sheetName val="P&amp;L Build Up"/>
      <sheetName val="Back Ups ---&gt;"/>
      <sheetName val="Exchange Rates"/>
      <sheetName val="IS Back Up"/>
      <sheetName val="DMT Costs"/>
      <sheetName val="Hamilton Sundestrand P&amp;L"/>
      <sheetName val="High Level Scenarios"/>
      <sheetName val="IGT Costs Backup"/>
      <sheetName val="Imposte new"/>
      <sheetName val="Imposte ant-diff"/>
      <sheetName val="FSC"/>
      <sheetName val="Sp rappr"/>
      <sheetName val="Manutenzioni"/>
      <sheetName val="Int passivi"/>
      <sheetName val="Cuneo fiscale"/>
      <sheetName val="BDV COGE"/>
      <sheetName val="Scritture rettifica"/>
      <sheetName val="PDCA"/>
      <sheetName val="Quadratura contabilita"/>
      <sheetName val="SALDI"/>
      <sheetName val="SALDI_BV"/>
      <sheetName val="Foglio4"/>
      <sheetName val="Foglio2"/>
      <sheetName val="Scritture"/>
      <sheetName val="Foglio1"/>
      <sheetName val="Bilancio verifica 2009"/>
      <sheetName val="Bilancio CEE 2009"/>
      <sheetName val="Dati"/>
      <sheetName val="grafici"/>
      <sheetName val="Rendiconto finanziario"/>
      <sheetName val="Rendiconto finanziario (2)"/>
      <sheetName val="Amm.to fabbricati"/>
      <sheetName val="Leasing"/>
      <sheetName val="Inputs generali"/>
      <sheetName val="LBO output"/>
      <sheetName val="Summary IRR"/>
      <sheetName val="BidCo|CDP"/>
      <sheetName val="Struttura operazione"/>
      <sheetName val="Valutazione -&gt;"/>
      <sheetName val="VALUATION BOOK"/>
      <sheetName val="Output ricavi SPA"/>
      <sheetName val="Modello -&gt;"/>
      <sheetName val="TAG"/>
      <sheetName val="Ricavi"/>
      <sheetName val="Costi"/>
      <sheetName val="D&amp;A"/>
      <sheetName val="RAB -&gt;"/>
      <sheetName val="ENI INPUT-&gt;"/>
      <sheetName val="ENI plan"/>
      <sheetName val="Confronto per advisor"/>
      <sheetName val="WC Eni"/>
      <sheetName val="SPLIT 1H"/>
      <sheetName val="NFP june 2011"/>
      <sheetName val="Riepilogo"/>
      <sheetName val="Dettagli"/>
      <sheetName val="Nera -&gt;"/>
      <sheetName val="Ricavi Opex MoU NO ST 19 MAG"/>
      <sheetName val="Riconciliazione"/>
      <sheetName val="Ricavi Opex MoU ST 19 MAG_v2"/>
      <sheetName val="Ricavi Opex NERA ST 19 MAG_v2"/>
      <sheetName val="Ricavi Opex MoU ST 19 MAG_v1"/>
      <sheetName val="Ricavi Opex NERA NO ST 19 MAG"/>
      <sheetName val="Ricavi Opex MoU 4 mag"/>
      <sheetName val="Ricavi Opex NERA 4 mag"/>
      <sheetName val="Ricavi Opex MoU ST 18 MAG"/>
      <sheetName val="Ricavi Opex MoU NO ST 18 MAG"/>
      <sheetName val="Ricavi Opex NERA ST 18 MAG"/>
      <sheetName val="Ricavi Opex NERA NO ST 18 MAG"/>
      <sheetName val="Ricavi Opex NERA ST 19 MAG_v1"/>
      <sheetName val="OUTPUTS -&gt;"/>
      <sheetName val="Output IRR"/>
      <sheetName val="Valuation output"/>
      <sheetName val="Financials output"/>
      <sheetName val="RICAVI NERA OPEX MOU"/>
      <sheetName val="RICAVI NERA OPEX NERA"/>
      <sheetName val="NPV RICAVI NERA MOU"/>
      <sheetName val="NPV OPEX NERA"/>
      <sheetName val="OLD NERA-&gt;"/>
      <sheetName val="Ricavi Opex MoU 3mag (2)"/>
      <sheetName val="Ricavi Opex NERA 3mag (2)"/>
      <sheetName val="Ricavi Opex MoU 2mag (2)"/>
      <sheetName val="Ricavi Opex NERA 2mag (2)"/>
      <sheetName val="Ricavi Opex MoU def"/>
      <sheetName val="Ricavi Opex NERA def"/>
      <sheetName val="Ricavi Opex MoU "/>
      <sheetName val="Ricavi Opex NERA "/>
      <sheetName val="NPV Ricavi_opex MOU"/>
      <sheetName val="NPV Ricavi_ opex Opz1-fuelgas"/>
      <sheetName val="Dashboard_Piano INV ENI"/>
      <sheetName val="Legenda Scenario_Piano INV ENI"/>
      <sheetName val="Fuel gas costs"/>
      <sheetName val="Opex _opz1"/>
      <sheetName val="Legenda Scenari"/>
      <sheetName val="Ouput_transit 100%"/>
      <sheetName val="Ouput_transit 90%"/>
      <sheetName val="Ouput_transit 60%"/>
      <sheetName val="Ouput_transit 30%"/>
      <sheetName val="Other revenues"/>
      <sheetName val="OPEX NERA"/>
      <sheetName val="OPEX MOU"/>
      <sheetName val="Backup -&gt;"/>
      <sheetName val="Regul WACC"/>
      <sheetName val="Consensus WACC"/>
      <sheetName val="Payout"/>
      <sheetName val="Old -&gt;"/>
      <sheetName val="Output TAG"/>
      <sheetName val="Output BidCo"/>
      <sheetName val="OP Model"/>
      <sheetName val="LBOModel"/>
      <sheetName val="Acqu Matrix"/>
      <sheetName val="LBOModel (3 Disposal)"/>
      <sheetName val="LBOModel (2 Disposal)"/>
      <sheetName val="LBOModel (Group)"/>
      <sheetName val="LBOModel (Group) (Sens)"/>
      <sheetName val="DCF (Group)"/>
      <sheetName val="DCF (Group) (Sens)"/>
      <sheetName val="DCF (ED)"/>
      <sheetName val="DCF (PS)"/>
      <sheetName val="DCF (OS)"/>
      <sheetName val="Debt Capacity"/>
      <sheetName val="Premium Analysis"/>
      <sheetName val="Styles"/>
      <sheetName val="CP"/>
      <sheetName val="Model"/>
      <sheetName val="Annex A"/>
      <sheetName val="New BS"/>
      <sheetName val="Delta TAG BP"/>
      <sheetName val="DDM - DCF"/>
      <sheetName val="PPR"/>
      <sheetName val="CDP GAS"/>
      <sheetName val="DDM"/>
      <sheetName val="Ke"/>
      <sheetName val="#INPUT#"/>
      <sheetName val="TAG_AR Input"/>
      <sheetName val="TAG_Model Input"/>
      <sheetName val="Capex + TAG Assets"/>
      <sheetName val="Going concern"/>
      <sheetName val="#OUTPUT#"/>
      <sheetName val="Output semplificato_CDP"/>
      <sheetName val="Loan Agreement + O&amp;M"/>
      <sheetName val="Financials"/>
      <sheetName val="O&amp;M Going Concern "/>
      <sheetName val="O&amp;M Going Concern  (2)"/>
      <sheetName val="MP_OutPut"/>
      <sheetName val="PSC_Analysis (2)"/>
      <sheetName val="PPR (B+C)_%PPR"/>
      <sheetName val="PPR (B+C)_100%"/>
      <sheetName val="PSC_Analysis"/>
      <sheetName val="WHRU"/>
      <sheetName val="#Support#"/>
      <sheetName val="Asset Pipeline"/>
      <sheetName val="Asset Stations"/>
      <sheetName val="Tangible Assets"/>
      <sheetName val="Capex_details"/>
      <sheetName val="O&amp;M GCA"/>
      <sheetName val="#BRATTLE#"/>
      <sheetName val="Disclaimer"/>
      <sheetName val="Intro"/>
      <sheetName val="Switch description"/>
      <sheetName val="Results"/>
      <sheetName val="Beispielermittlung (WHRU)"/>
      <sheetName val="Beispielermittlung"/>
      <sheetName val="Allowed revenues"/>
      <sheetName val="Volume risk"/>
      <sheetName val="Payback to the system"/>
      <sheetName val="CCA Capex evolution"/>
      <sheetName val="Additional RAB_revaluated"/>
      <sheetName val="Inflation rate Scenarios"/>
      <sheetName val="OPEX Scenarios_Lazard"/>
      <sheetName val="Legal Disclaimer"/>
      <sheetName val="Colour Key"/>
      <sheetName val="Lonza Input - Financing Case"/>
      <sheetName val="Lonza Input - Mgmt Case"/>
      <sheetName val="Lonza - Output &amp; Adjustments"/>
      <sheetName val="Cambrex BB"/>
      <sheetName val="Acquiror"/>
      <sheetName val="Pro Forma"/>
      <sheetName val="Appendix"/>
      <sheetName val=" PF Cap Output"/>
      <sheetName val="Copy of PF for  Credit Metrics"/>
      <sheetName val="PF For Memo"/>
      <sheetName val="Interest and Fees"/>
      <sheetName val="Accretion Dilution"/>
      <sheetName val="Credit Stats - Scenarios Static"/>
      <sheetName val="S&amp;P Key Ind. Fin Ratios"/>
      <sheetName val="Operating Leases"/>
      <sheetName val="Synergies and Integration Costs"/>
      <sheetName val="db SAP 1100_VRN"/>
      <sheetName val="db SAP 1100_VBS"/>
      <sheetName val="db SAP 1300_AVIO"/>
      <sheetName val="1100_VRN"/>
      <sheetName val="1100_VBS"/>
      <sheetName val="1300_AVIO"/>
      <sheetName val="ELISIONI"/>
      <sheetName val="tot_Catullo"/>
      <sheetName val="ELISIONI_BUD"/>
      <sheetName val="SOPRAVV"/>
      <sheetName val="Cfr."/>
      <sheetName val="Cfr. CATULLO + AVIO"/>
      <sheetName val="Cfr. CATULLO + AVIO (2)"/>
      <sheetName val="CE x scalo"/>
      <sheetName val="CE x BU 2010"/>
      <sheetName val="CE x BU 2009"/>
      <sheetName val="Cfr. x BU VRN"/>
      <sheetName val="Cfr. x BU VBS"/>
      <sheetName val="CE x BU Bgt10"/>
      <sheetName val="Sequenza Grafici"/>
      <sheetName val="RIEPILOGO_PER"/>
      <sheetName val="dati di personale"/>
      <sheetName val="dati di traffico"/>
      <sheetName val="Grafico RICAVI"/>
      <sheetName val="Dettaglio NON AVIATION"/>
      <sheetName val="Dettaglio Costi"/>
      <sheetName val="GRAFICO MOL CATULLO"/>
      <sheetName val="PPT"/>
      <sheetName val="PPT Report gest"/>
      <sheetName val="PPT (5)"/>
      <sheetName val="PPT (2)"/>
      <sheetName val="1100_vbs_03_09"/>
      <sheetName val="1100_vrn_03_09"/>
      <sheetName val="ce_1100"/>
      <sheetName val="ce_1200 legal entity"/>
      <sheetName val="ce_1300 Avio H."/>
      <sheetName val="ce_1400 Park"/>
      <sheetName val="ce_1500 legal entity"/>
      <sheetName val="coge"/>
      <sheetName val="tot gestionale"/>
      <sheetName val="1200_VBS"/>
      <sheetName val="1400_PAR"/>
      <sheetName val="Regulatory assumptions"/>
      <sheetName val="20170523_Model long term_final_"/>
      <sheetName val="20170508_Revenues"/>
      <sheetName val="Bilancio"/>
      <sheetName val="RendFin"/>
      <sheetName val="Immobilizz."/>
      <sheetName val="CO"/>
      <sheetName val="Amm AR"/>
      <sheetName val="Amm TE"/>
      <sheetName val="Amm fisc"/>
      <sheetName val="Imposte"/>
      <sheetName val="CCN"/>
      <sheetName val="FCFO"/>
      <sheetName val="EVA"/>
      <sheetName val="Indici"/>
      <sheetName val="Infl"/>
      <sheetName val="Effetto fisc"/>
      <sheetName val="Effetto fisc unb (10)"/>
      <sheetName val="Effetto fisc unb (40)"/>
      <sheetName val="Effetto fisc soc (10)"/>
      <sheetName val="Effetto fisc soc (40)"/>
      <sheetName val="calcolo amm"/>
      <sheetName val="Foglio1 (2)"/>
      <sheetName val="Reg Rev_Transit_CCA"/>
      <sheetName val="Reg Rev_Transit_HCA"/>
      <sheetName val="Reg Rev_Transit_CIV"/>
      <sheetName val="RAB_Review"/>
      <sheetName val="Reg Rev_Transit_CCA_Review"/>
      <sheetName val="Reg Rev_Transit_HCA_Review"/>
      <sheetName val="Reg Rev_Transit_CIV_Review"/>
      <sheetName val="SintesiRAB_CCA"/>
      <sheetName val="SintesiRAB_HCA"/>
      <sheetName val="SintesiRAB_CIV"/>
      <sheetName val="Dashboard"/>
      <sheetName val="Input capacity"/>
      <sheetName val="Legenda Scenari_Review"/>
      <sheetName val="Dashboard_Review"/>
      <sheetName val="CF reale"/>
      <sheetName val="Chart1_summary"/>
      <sheetName val="Chart2_summary"/>
      <sheetName val="Chart3_summary"/>
      <sheetName val="Modello_rame &gt;&gt;"/>
      <sheetName val="Risultati_rame"/>
      <sheetName val="Input_rame"/>
      <sheetName val="Asset Base REG_rame"/>
      <sheetName val="Opex_rame"/>
      <sheetName val="Parametri tariffari_rame"/>
      <sheetName val="Modello_fibra &gt;&gt;"/>
      <sheetName val="Risultati_fibra"/>
      <sheetName val="Input_fibra"/>
      <sheetName val="Asset Base REG_fibra"/>
      <sheetName val="Opex_fibra"/>
      <sheetName val="Parametri tariffari_fibra"/>
      <sheetName val="Driver"/>
      <sheetName val="Prodotti"/>
      <sheetName val="COSTI OPERATIVI VR"/>
      <sheetName val="COSTI OPERATIVI VR BU BS"/>
      <sheetName val="COSTI OPERATIVI VBS"/>
      <sheetName val="cdc"/>
      <sheetName val="db"/>
      <sheetName val="Costi con Driver"/>
      <sheetName val="da rib diretti"/>
      <sheetName val="PIVOT PER 248"/>
      <sheetName val="COSTI AVIO"/>
      <sheetName val="WACC Russia"/>
      <sheetName val="Debt schedule"/>
      <sheetName val="DCF (Russia)"/>
      <sheetName val="P&amp;L Russia"/>
      <sheetName val="2300"/>
      <sheetName val="1850"/>
      <sheetName val="Workers"/>
      <sheetName val="cost base"/>
      <sheetName val="General expenses"/>
      <sheetName val="Economico"/>
      <sheetName val="Finanziario"/>
      <sheetName val="Risultati"/>
      <sheetName val="Asset Base REG"/>
      <sheetName val="Parametri tariffari"/>
      <sheetName val="Dati BP &gt;&gt;"/>
      <sheetName val="Volumi linee rame"/>
      <sheetName val="RAB Esistente"/>
      <sheetName val="Opex Anno base"/>
    </sheetNames>
    <sheetDataSet>
      <sheetData sheetId="0">
        <row r="43">
          <cell r="E43">
            <v>400368650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6">
          <cell r="C36">
            <v>288737341.04930234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51">
          <cell r="M51">
            <v>12183.8382361</v>
          </cell>
        </row>
      </sheetData>
      <sheetData sheetId="73"/>
      <sheetData sheetId="74"/>
      <sheetData sheetId="75" refreshError="1"/>
      <sheetData sheetId="76"/>
      <sheetData sheetId="77"/>
      <sheetData sheetId="78"/>
      <sheetData sheetId="79"/>
      <sheetData sheetId="80"/>
      <sheetData sheetId="81"/>
      <sheetData sheetId="82">
        <row r="5">
          <cell r="M5">
            <v>87267371.629999995</v>
          </cell>
        </row>
      </sheetData>
      <sheetData sheetId="83">
        <row r="5">
          <cell r="M5">
            <v>78121994.340000004</v>
          </cell>
        </row>
      </sheetData>
      <sheetData sheetId="84">
        <row r="5">
          <cell r="M5">
            <v>58401730.450000003</v>
          </cell>
        </row>
      </sheetData>
      <sheetData sheetId="85">
        <row r="33">
          <cell r="G33">
            <v>3406838.9211979634</v>
          </cell>
        </row>
      </sheetData>
      <sheetData sheetId="86">
        <row r="12">
          <cell r="G12">
            <v>1482322.4002875162</v>
          </cell>
        </row>
      </sheetData>
      <sheetData sheetId="87">
        <row r="11">
          <cell r="G11">
            <v>1154817.4495163599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4">
          <cell r="C4">
            <v>2012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>
        <row r="11">
          <cell r="C11">
            <v>0.04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>
        <row r="3">
          <cell r="E3">
            <v>0.06</v>
          </cell>
        </row>
      </sheetData>
      <sheetData sheetId="165">
        <row r="2">
          <cell r="A2" t="str">
            <v>Matr.</v>
          </cell>
        </row>
      </sheetData>
      <sheetData sheetId="166">
        <row r="23">
          <cell r="D23" t="str">
            <v>E00238 - Trans Austria Gasleitung GmbH</v>
          </cell>
        </row>
      </sheetData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>
        <row r="141">
          <cell r="B141">
            <v>1.018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>
        <row r="4">
          <cell r="B4">
            <v>34759</v>
          </cell>
        </row>
      </sheetData>
      <sheetData sheetId="239">
        <row r="8">
          <cell r="R8">
            <v>72.56</v>
          </cell>
        </row>
      </sheetData>
      <sheetData sheetId="240">
        <row r="3">
          <cell r="E3">
            <v>2007</v>
          </cell>
        </row>
      </sheetData>
      <sheetData sheetId="241">
        <row r="4">
          <cell r="B4">
            <v>34759</v>
          </cell>
        </row>
      </sheetData>
      <sheetData sheetId="242">
        <row r="8">
          <cell r="R8">
            <v>72.56</v>
          </cell>
        </row>
      </sheetData>
      <sheetData sheetId="243">
        <row r="3">
          <cell r="E3">
            <v>2007</v>
          </cell>
        </row>
      </sheetData>
      <sheetData sheetId="244" refreshError="1"/>
      <sheetData sheetId="245">
        <row r="8">
          <cell r="R8">
            <v>72.56</v>
          </cell>
        </row>
      </sheetData>
      <sheetData sheetId="246">
        <row r="3">
          <cell r="E3">
            <v>2007</v>
          </cell>
        </row>
      </sheetData>
      <sheetData sheetId="247">
        <row r="4">
          <cell r="B4">
            <v>34759</v>
          </cell>
        </row>
      </sheetData>
      <sheetData sheetId="248">
        <row r="8">
          <cell r="R8">
            <v>72.56</v>
          </cell>
        </row>
      </sheetData>
      <sheetData sheetId="249"/>
      <sheetData sheetId="250">
        <row r="4">
          <cell r="B4">
            <v>34759</v>
          </cell>
        </row>
      </sheetData>
      <sheetData sheetId="251" refreshError="1"/>
      <sheetData sheetId="252" refreshError="1"/>
      <sheetData sheetId="253" refreshError="1"/>
      <sheetData sheetId="254">
        <row r="3">
          <cell r="B3" t="str">
            <v>PAYAMINO</v>
          </cell>
        </row>
      </sheetData>
      <sheetData sheetId="255">
        <row r="8">
          <cell r="R8">
            <v>72.56</v>
          </cell>
        </row>
      </sheetData>
      <sheetData sheetId="256">
        <row r="3">
          <cell r="E3">
            <v>2007</v>
          </cell>
        </row>
      </sheetData>
      <sheetData sheetId="257">
        <row r="3">
          <cell r="B3" t="str">
            <v>PAYAMINO</v>
          </cell>
        </row>
      </sheetData>
      <sheetData sheetId="258">
        <row r="8">
          <cell r="R8">
            <v>72.56</v>
          </cell>
        </row>
      </sheetData>
      <sheetData sheetId="259">
        <row r="3">
          <cell r="E3">
            <v>2007</v>
          </cell>
        </row>
      </sheetData>
      <sheetData sheetId="260" refreshError="1"/>
      <sheetData sheetId="261">
        <row r="8">
          <cell r="R8">
            <v>72.56</v>
          </cell>
        </row>
      </sheetData>
      <sheetData sheetId="262">
        <row r="3">
          <cell r="E3">
            <v>2007</v>
          </cell>
        </row>
      </sheetData>
      <sheetData sheetId="263">
        <row r="1">
          <cell r="D1" t="str">
            <v>FOPR-Inj-Coca-1-1000bwipd</v>
          </cell>
        </row>
      </sheetData>
      <sheetData sheetId="264">
        <row r="8">
          <cell r="R8">
            <v>72.56</v>
          </cell>
        </row>
      </sheetData>
      <sheetData sheetId="265">
        <row r="3">
          <cell r="E3">
            <v>2007</v>
          </cell>
        </row>
      </sheetData>
      <sheetData sheetId="266">
        <row r="1">
          <cell r="D1" t="str">
            <v>FOPR-Inj-Coca-1-1000bwipd</v>
          </cell>
        </row>
      </sheetData>
      <sheetData sheetId="267">
        <row r="8">
          <cell r="R8">
            <v>72.56</v>
          </cell>
        </row>
      </sheetData>
      <sheetData sheetId="268">
        <row r="3">
          <cell r="E3">
            <v>2007</v>
          </cell>
        </row>
      </sheetData>
      <sheetData sheetId="269">
        <row r="1">
          <cell r="D1" t="str">
            <v>FOPR-Inj-Coca-1-1000bwipd</v>
          </cell>
        </row>
      </sheetData>
      <sheetData sheetId="270">
        <row r="8">
          <cell r="R8">
            <v>72.56</v>
          </cell>
        </row>
      </sheetData>
      <sheetData sheetId="271">
        <row r="3">
          <cell r="E3">
            <v>2007</v>
          </cell>
        </row>
      </sheetData>
      <sheetData sheetId="272">
        <row r="1">
          <cell r="D1" t="str">
            <v>FOPR-Inj-Coca-1-1000bwipd</v>
          </cell>
        </row>
      </sheetData>
      <sheetData sheetId="273">
        <row r="8">
          <cell r="R8">
            <v>72.56</v>
          </cell>
        </row>
      </sheetData>
      <sheetData sheetId="274">
        <row r="3">
          <cell r="E3">
            <v>2007</v>
          </cell>
        </row>
      </sheetData>
      <sheetData sheetId="275">
        <row r="1">
          <cell r="D1" t="str">
            <v>FOPR-Inj-Coca-1-1000bwipd</v>
          </cell>
        </row>
      </sheetData>
      <sheetData sheetId="276">
        <row r="8">
          <cell r="R8">
            <v>72.56</v>
          </cell>
        </row>
      </sheetData>
      <sheetData sheetId="277"/>
      <sheetData sheetId="278">
        <row r="1">
          <cell r="D1" t="str">
            <v>FOPR-Inj-Coca-1-1000bwipd</v>
          </cell>
        </row>
      </sheetData>
      <sheetData sheetId="279">
        <row r="8">
          <cell r="R8">
            <v>72.56</v>
          </cell>
        </row>
      </sheetData>
      <sheetData sheetId="280"/>
      <sheetData sheetId="281">
        <row r="1">
          <cell r="D1" t="str">
            <v>FOPR-Inj-Coca-1-1000bwipd</v>
          </cell>
        </row>
      </sheetData>
      <sheetData sheetId="282"/>
      <sheetData sheetId="283"/>
      <sheetData sheetId="284">
        <row r="1">
          <cell r="D1" t="str">
            <v>FOPR-Inj-Coca-1-1000bwipd</v>
          </cell>
        </row>
      </sheetData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/>
      <sheetData sheetId="325"/>
      <sheetData sheetId="326"/>
      <sheetData sheetId="327">
        <row r="2">
          <cell r="E2" t="b">
            <v>1</v>
          </cell>
        </row>
      </sheetData>
      <sheetData sheetId="328"/>
      <sheetData sheetId="329"/>
      <sheetData sheetId="330">
        <row r="2">
          <cell r="E2" t="b">
            <v>1</v>
          </cell>
        </row>
      </sheetData>
      <sheetData sheetId="331"/>
      <sheetData sheetId="332"/>
      <sheetData sheetId="333">
        <row r="2">
          <cell r="E2" t="b">
            <v>1</v>
          </cell>
        </row>
      </sheetData>
      <sheetData sheetId="334"/>
      <sheetData sheetId="335">
        <row r="30">
          <cell r="AI30">
            <v>1388</v>
          </cell>
        </row>
      </sheetData>
      <sheetData sheetId="336">
        <row r="2">
          <cell r="E2" t="b">
            <v>1</v>
          </cell>
        </row>
      </sheetData>
      <sheetData sheetId="337"/>
      <sheetData sheetId="338">
        <row r="30">
          <cell r="AI30">
            <v>1388</v>
          </cell>
        </row>
      </sheetData>
      <sheetData sheetId="339">
        <row r="2">
          <cell r="E2" t="b">
            <v>1</v>
          </cell>
        </row>
      </sheetData>
      <sheetData sheetId="340" refreshError="1"/>
      <sheetData sheetId="341">
        <row r="30">
          <cell r="AI30">
            <v>1388</v>
          </cell>
        </row>
      </sheetData>
      <sheetData sheetId="342">
        <row r="2">
          <cell r="E2" t="b">
            <v>1</v>
          </cell>
        </row>
      </sheetData>
      <sheetData sheetId="343"/>
      <sheetData sheetId="344">
        <row r="30">
          <cell r="AI30">
            <v>1388</v>
          </cell>
        </row>
      </sheetData>
      <sheetData sheetId="345">
        <row r="16">
          <cell r="A16" t="str">
            <v>kalk. Abschreib. in TDM</v>
          </cell>
        </row>
      </sheetData>
      <sheetData sheetId="346">
        <row r="4">
          <cell r="B4">
            <v>34759</v>
          </cell>
        </row>
      </sheetData>
      <sheetData sheetId="347">
        <row r="3">
          <cell r="E3">
            <v>2007</v>
          </cell>
        </row>
      </sheetData>
      <sheetData sheetId="348">
        <row r="2">
          <cell r="E2" t="b">
            <v>1</v>
          </cell>
        </row>
      </sheetData>
      <sheetData sheetId="349">
        <row r="5">
          <cell r="B5">
            <v>2.4</v>
          </cell>
        </row>
      </sheetData>
      <sheetData sheetId="350">
        <row r="30">
          <cell r="AI30">
            <v>1388</v>
          </cell>
        </row>
      </sheetData>
      <sheetData sheetId="351">
        <row r="16">
          <cell r="A16" t="str">
            <v>kalk. Abschreib. in TDM</v>
          </cell>
        </row>
      </sheetData>
      <sheetData sheetId="352" refreshError="1"/>
      <sheetData sheetId="353" refreshError="1"/>
      <sheetData sheetId="354"/>
      <sheetData sheetId="355"/>
      <sheetData sheetId="356">
        <row r="1">
          <cell r="N1">
            <v>1</v>
          </cell>
        </row>
      </sheetData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>
        <row r="3">
          <cell r="C3">
            <v>12</v>
          </cell>
        </row>
      </sheetData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>
        <row r="2">
          <cell r="F2" t="str">
            <v>Proposed Well Profile</v>
          </cell>
        </row>
      </sheetData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>
        <row r="48">
          <cell r="F48">
            <v>410</v>
          </cell>
        </row>
      </sheetData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>
        <row r="9">
          <cell r="B9">
            <v>978</v>
          </cell>
        </row>
      </sheetData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>
        <row r="4">
          <cell r="B4">
            <v>0</v>
          </cell>
        </row>
      </sheetData>
      <sheetData sheetId="597">
        <row r="4">
          <cell r="B4">
            <v>0</v>
          </cell>
        </row>
      </sheetData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/>
      <sheetData sheetId="723" refreshError="1"/>
      <sheetData sheetId="724" refreshError="1"/>
      <sheetData sheetId="725" refreshError="1"/>
      <sheetData sheetId="726" refreshError="1"/>
      <sheetData sheetId="727">
        <row r="15">
          <cell r="F15">
            <v>-7214.55</v>
          </cell>
        </row>
      </sheetData>
      <sheetData sheetId="728">
        <row r="3">
          <cell r="F3">
            <v>365</v>
          </cell>
        </row>
      </sheetData>
      <sheetData sheetId="729">
        <row r="77">
          <cell r="Y77">
            <v>54035</v>
          </cell>
        </row>
      </sheetData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/>
      <sheetData sheetId="800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>
        <row r="2">
          <cell r="B2" t="str">
            <v>WTI &amp; Brent &amp; Ural - Brokers' consensus</v>
          </cell>
        </row>
      </sheetData>
      <sheetData sheetId="849">
        <row r="2">
          <cell r="A2">
            <v>1</v>
          </cell>
        </row>
      </sheetData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>
        <row r="3">
          <cell r="C3" t="str">
            <v>Taishan - Business plan</v>
          </cell>
        </row>
      </sheetData>
      <sheetData sheetId="864">
        <row r="3">
          <cell r="C3" t="str">
            <v>Tariff structure</v>
          </cell>
        </row>
      </sheetData>
      <sheetData sheetId="865">
        <row r="3">
          <cell r="C3" t="str">
            <v>Taishan - analysis</v>
          </cell>
        </row>
      </sheetData>
      <sheetData sheetId="866">
        <row r="5">
          <cell r="A5">
            <v>1</v>
          </cell>
        </row>
      </sheetData>
      <sheetData sheetId="867">
        <row r="5">
          <cell r="A5">
            <v>1</v>
          </cell>
        </row>
      </sheetData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>
        <row r="18">
          <cell r="C18" t="str">
            <v>Tullow</v>
          </cell>
        </row>
      </sheetData>
      <sheetData sheetId="875">
        <row r="19">
          <cell r="C19" t="str">
            <v>Tullow</v>
          </cell>
        </row>
      </sheetData>
      <sheetData sheetId="876" refreshError="1"/>
      <sheetData sheetId="877">
        <row r="131">
          <cell r="A131" t="str">
            <v>B</v>
          </cell>
        </row>
      </sheetData>
      <sheetData sheetId="878">
        <row r="1">
          <cell r="B1" t="str">
            <v>Reserves &amp; production</v>
          </cell>
        </row>
      </sheetData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>
        <row r="41">
          <cell r="A41" t="str">
            <v>q</v>
          </cell>
        </row>
      </sheetData>
      <sheetData sheetId="887" refreshError="1"/>
      <sheetData sheetId="888" refreshError="1"/>
      <sheetData sheetId="889" refreshError="1"/>
      <sheetData sheetId="890">
        <row r="2">
          <cell r="C2" t="str">
            <v>Profile</v>
          </cell>
        </row>
      </sheetData>
      <sheetData sheetId="891" refreshError="1"/>
      <sheetData sheetId="892" refreshError="1"/>
      <sheetData sheetId="893" refreshError="1"/>
      <sheetData sheetId="894">
        <row r="5">
          <cell r="A5">
            <v>1</v>
          </cell>
        </row>
      </sheetData>
      <sheetData sheetId="895" refreshError="1"/>
      <sheetData sheetId="896">
        <row r="2">
          <cell r="C2" t="str">
            <v>Customised colour pannel</v>
          </cell>
        </row>
      </sheetData>
      <sheetData sheetId="897" refreshError="1"/>
      <sheetData sheetId="898">
        <row r="64">
          <cell r="E64">
            <v>0</v>
          </cell>
        </row>
      </sheetData>
      <sheetData sheetId="899">
        <row r="3">
          <cell r="G3" t="str">
            <v>1 mcm</v>
          </cell>
        </row>
      </sheetData>
      <sheetData sheetId="900" refreshError="1"/>
      <sheetData sheetId="901" refreshError="1"/>
      <sheetData sheetId="902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/>
      <sheetData sheetId="1089">
        <row r="6">
          <cell r="C6">
            <v>0</v>
          </cell>
        </row>
      </sheetData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>
        <row r="6">
          <cell r="F6" t="str">
            <v>Please find attached today's Morgan Stanley London Oil Commentary.
Best regards,</v>
          </cell>
        </row>
      </sheetData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>
        <row r="34">
          <cell r="G34">
            <v>16392.167568488494</v>
          </cell>
        </row>
      </sheetData>
      <sheetData sheetId="1143">
        <row r="14">
          <cell r="G14">
            <v>16970.528392473669</v>
          </cell>
        </row>
      </sheetData>
      <sheetData sheetId="1144" refreshError="1"/>
      <sheetData sheetId="1145">
        <row r="16">
          <cell r="G16">
            <v>6663.7693015645773</v>
          </cell>
        </row>
      </sheetData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/>
      <sheetData sheetId="1246" refreshError="1"/>
      <sheetData sheetId="1247"/>
      <sheetData sheetId="1248" refreshError="1"/>
      <sheetData sheetId="1249" refreshError="1"/>
      <sheetData sheetId="1250" refreshError="1"/>
      <sheetData sheetId="1251" refreshError="1"/>
      <sheetData sheetId="1252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 refreshError="1"/>
      <sheetData sheetId="1262" refreshError="1"/>
      <sheetData sheetId="1263"/>
      <sheetData sheetId="1264" refreshError="1"/>
      <sheetData sheetId="1265"/>
      <sheetData sheetId="1266"/>
      <sheetData sheetId="1267" refreshError="1"/>
      <sheetData sheetId="1268"/>
      <sheetData sheetId="1269"/>
      <sheetData sheetId="1270"/>
      <sheetData sheetId="1271"/>
      <sheetData sheetId="1272"/>
      <sheetData sheetId="1273" refreshError="1"/>
      <sheetData sheetId="1274" refreshError="1"/>
      <sheetData sheetId="1275" refreshError="1"/>
      <sheetData sheetId="1276"/>
      <sheetData sheetId="1277"/>
      <sheetData sheetId="1278" refreshError="1"/>
      <sheetData sheetId="1279"/>
      <sheetData sheetId="1280"/>
      <sheetData sheetId="1281" refreshError="1"/>
      <sheetData sheetId="1282"/>
      <sheetData sheetId="1283" refreshError="1"/>
      <sheetData sheetId="1284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/>
      <sheetData sheetId="1326" refreshError="1"/>
      <sheetData sheetId="1327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 refreshError="1"/>
      <sheetData sheetId="1342" refreshError="1"/>
      <sheetData sheetId="1343" refreshError="1"/>
      <sheetData sheetId="1344" refreshError="1"/>
      <sheetData sheetId="1345"/>
      <sheetData sheetId="1346" refreshError="1"/>
      <sheetData sheetId="1347" refreshError="1"/>
      <sheetData sheetId="1348"/>
      <sheetData sheetId="1349"/>
      <sheetData sheetId="1350" refreshError="1"/>
      <sheetData sheetId="1351"/>
      <sheetData sheetId="1352"/>
      <sheetData sheetId="1353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/>
      <sheetData sheetId="1409" refreshError="1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/>
      <sheetData sheetId="1419"/>
      <sheetData sheetId="1420" refreshError="1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 refreshError="1"/>
      <sheetData sheetId="1501" refreshError="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 refreshError="1"/>
      <sheetData sheetId="1540" refreshError="1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 refreshError="1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>
        <row r="32">
          <cell r="B32" t="str">
            <v>Markets Monday</v>
          </cell>
        </row>
      </sheetData>
      <sheetData sheetId="1815" refreshError="1"/>
      <sheetData sheetId="1816">
        <row r="1">
          <cell r="A1" t="str">
            <v>Raw Energyscope Feeds: Exchange Prices</v>
          </cell>
        </row>
      </sheetData>
      <sheetData sheetId="1817"/>
      <sheetData sheetId="1818"/>
      <sheetData sheetId="1819"/>
      <sheetData sheetId="1820" refreshError="1"/>
      <sheetData sheetId="1821"/>
      <sheetData sheetId="1822"/>
      <sheetData sheetId="1823">
        <row r="4">
          <cell r="C4" t="str">
            <v>F05 Allocation of the result N-1</v>
          </cell>
        </row>
      </sheetData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>
        <row r="3">
          <cell r="B3" t="str">
            <v>kihasználási óraszám</v>
          </cell>
        </row>
      </sheetData>
      <sheetData sheetId="1868"/>
      <sheetData sheetId="1869"/>
      <sheetData sheetId="1870" refreshError="1"/>
      <sheetData sheetId="1871"/>
      <sheetData sheetId="1872" refreshError="1"/>
      <sheetData sheetId="1873"/>
      <sheetData sheetId="1874" refreshError="1"/>
      <sheetData sheetId="1875" refreshError="1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/>
      <sheetData sheetId="1909"/>
      <sheetData sheetId="1910"/>
      <sheetData sheetId="1911"/>
      <sheetData sheetId="1912"/>
      <sheetData sheetId="1913"/>
      <sheetData sheetId="1914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/>
      <sheetData sheetId="1935" refreshError="1"/>
      <sheetData sheetId="1936"/>
      <sheetData sheetId="1937"/>
      <sheetData sheetId="1938" refreshError="1"/>
      <sheetData sheetId="1939"/>
      <sheetData sheetId="1940" refreshError="1"/>
      <sheetData sheetId="1941" refreshError="1"/>
      <sheetData sheetId="1942"/>
      <sheetData sheetId="1943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>
        <row r="6">
          <cell r="D6">
            <v>20539868</v>
          </cell>
        </row>
      </sheetData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>
        <row r="5">
          <cell r="N5">
            <v>1</v>
          </cell>
        </row>
      </sheetData>
      <sheetData sheetId="2314"/>
      <sheetData sheetId="2315" refreshError="1"/>
      <sheetData sheetId="2316" refreshError="1"/>
      <sheetData sheetId="2317"/>
      <sheetData sheetId="2318"/>
      <sheetData sheetId="2319"/>
      <sheetData sheetId="2320"/>
      <sheetData sheetId="2321"/>
      <sheetData sheetId="2322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>
        <row r="1">
          <cell r="N1">
            <v>1</v>
          </cell>
        </row>
      </sheetData>
      <sheetData sheetId="2396"/>
      <sheetData sheetId="2397"/>
      <sheetData sheetId="2398"/>
      <sheetData sheetId="2399"/>
      <sheetData sheetId="2400"/>
      <sheetData sheetId="2401"/>
      <sheetData sheetId="2402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/>
      <sheetData sheetId="2463" refreshError="1"/>
      <sheetData sheetId="2464" refreshError="1"/>
      <sheetData sheetId="2465" refreshError="1"/>
      <sheetData sheetId="2466" refreshError="1"/>
      <sheetData sheetId="2467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/>
      <sheetData sheetId="2476" refreshError="1"/>
      <sheetData sheetId="2477"/>
      <sheetData sheetId="2478" refreshError="1"/>
      <sheetData sheetId="2479" refreshError="1"/>
      <sheetData sheetId="2480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/>
      <sheetData sheetId="2487"/>
      <sheetData sheetId="2488"/>
      <sheetData sheetId="2489" refreshError="1"/>
      <sheetData sheetId="2490" refreshError="1"/>
      <sheetData sheetId="2491"/>
      <sheetData sheetId="2492">
        <row r="6">
          <cell r="G6">
            <v>0</v>
          </cell>
        </row>
      </sheetData>
      <sheetData sheetId="2493">
        <row r="3">
          <cell r="D3" t="str">
            <v>ok</v>
          </cell>
        </row>
      </sheetData>
      <sheetData sheetId="2494"/>
      <sheetData sheetId="2495"/>
      <sheetData sheetId="2496"/>
      <sheetData sheetId="2497">
        <row r="61">
          <cell r="F61">
            <v>675.22683702659526</v>
          </cell>
        </row>
      </sheetData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 refreshError="1"/>
      <sheetData sheetId="2527" refreshError="1"/>
      <sheetData sheetId="2528"/>
      <sheetData sheetId="2529">
        <row r="4">
          <cell r="C4">
            <v>1</v>
          </cell>
        </row>
      </sheetData>
      <sheetData sheetId="2530"/>
      <sheetData sheetId="2531"/>
      <sheetData sheetId="2532"/>
      <sheetData sheetId="2533"/>
      <sheetData sheetId="2534"/>
      <sheetData sheetId="2535">
        <row r="16">
          <cell r="J16">
            <v>653544.28335692035</v>
          </cell>
        </row>
      </sheetData>
      <sheetData sheetId="2536">
        <row r="9">
          <cell r="D9">
            <v>81126303.649960622</v>
          </cell>
        </row>
      </sheetData>
      <sheetData sheetId="2537"/>
      <sheetData sheetId="2538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/>
      <sheetData sheetId="2558"/>
      <sheetData sheetId="2559"/>
      <sheetData sheetId="2560">
        <row r="1">
          <cell r="A1">
            <v>25</v>
          </cell>
        </row>
      </sheetData>
      <sheetData sheetId="2561" refreshError="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/>
      <sheetData sheetId="2600" refreshError="1"/>
      <sheetData sheetId="2601" refreshError="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>
        <row r="174">
          <cell r="J174">
            <v>4.0398975833517712E-3</v>
          </cell>
        </row>
      </sheetData>
      <sheetData sheetId="2623">
        <row r="174">
          <cell r="J174">
            <v>3.6072149483229099E-3</v>
          </cell>
        </row>
      </sheetData>
      <sheetData sheetId="2624">
        <row r="174">
          <cell r="J174">
            <v>2.8850229657842036E-3</v>
          </cell>
        </row>
      </sheetData>
      <sheetData sheetId="2625"/>
      <sheetData sheetId="2626">
        <row r="174">
          <cell r="N174">
            <v>4.0061720112584288E-3</v>
          </cell>
        </row>
      </sheetData>
      <sheetData sheetId="2627">
        <row r="174">
          <cell r="N174">
            <v>3.5734920680474125E-3</v>
          </cell>
        </row>
      </sheetData>
      <sheetData sheetId="2628">
        <row r="174">
          <cell r="N174">
            <v>2.8501157602307875E-3</v>
          </cell>
        </row>
      </sheetData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>
        <row r="60">
          <cell r="E60">
            <v>9.3600000000000003E-2</v>
          </cell>
        </row>
      </sheetData>
      <sheetData sheetId="2643"/>
      <sheetData sheetId="2644" refreshError="1"/>
      <sheetData sheetId="2645">
        <row r="56">
          <cell r="B56">
            <v>-0.11731608065389147</v>
          </cell>
        </row>
      </sheetData>
      <sheetData sheetId="2646" refreshError="1"/>
      <sheetData sheetId="2647" refreshError="1"/>
      <sheetData sheetId="2648">
        <row r="56">
          <cell r="E56">
            <v>0.1101</v>
          </cell>
        </row>
      </sheetData>
      <sheetData sheetId="2649" refreshError="1"/>
      <sheetData sheetId="2650" refreshError="1"/>
      <sheetData sheetId="2651">
        <row r="56">
          <cell r="B56">
            <v>9.5761624020537034E-2</v>
          </cell>
        </row>
      </sheetData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>
        <row r="30">
          <cell r="B30" t="str">
            <v>Provisions</v>
          </cell>
        </row>
      </sheetData>
      <sheetData sheetId="2667"/>
      <sheetData sheetId="2668"/>
      <sheetData sheetId="2669"/>
      <sheetData sheetId="2670"/>
      <sheetData sheetId="2671"/>
      <sheetData sheetId="2672"/>
      <sheetData sheetId="2673"/>
      <sheetData sheetId="2674">
        <row r="5">
          <cell r="D5">
            <v>2014</v>
          </cell>
        </row>
      </sheetData>
      <sheetData sheetId="2675"/>
      <sheetData sheetId="2676"/>
      <sheetData sheetId="2677" refreshError="1"/>
      <sheetData sheetId="2678" refreshError="1"/>
      <sheetData sheetId="2679" refreshError="1"/>
      <sheetData sheetId="26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alc&gt;Tariffs"/>
      <sheetName val="VTPB"/>
      <sheetName val="VTPB_NICT"/>
      <sheetName val="CAA"/>
      <sheetName val="CAA CWD"/>
      <sheetName val="Benchmark Murfeld"/>
      <sheetName val="Parameters&gt;"/>
      <sheetName val="Costs"/>
      <sheetName val="Forecasts"/>
      <sheetName val="Reference VO 2017 TECH"/>
      <sheetName val="Reference VO 2017"/>
      <sheetName val="Distances"/>
      <sheetName val="Calc CWD&gt;"/>
      <sheetName val="CWD Tariffs"/>
      <sheetName val="CWD Weights"/>
      <sheetName val="Capacities ConsultationD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P5">
            <v>381.59447</v>
          </cell>
        </row>
        <row r="18">
          <cell r="P18">
            <v>238</v>
          </cell>
        </row>
        <row r="34">
          <cell r="P34">
            <v>210.69001</v>
          </cell>
        </row>
      </sheetData>
      <sheetData sheetId="12"/>
      <sheetData sheetId="13"/>
      <sheetData sheetId="14"/>
      <sheetData sheetId="15">
        <row r="5">
          <cell r="D5">
            <v>406.42794271774989</v>
          </cell>
          <cell r="E5">
            <v>652.16123585293951</v>
          </cell>
          <cell r="H5">
            <v>496.19784384649444</v>
          </cell>
          <cell r="I5">
            <v>43.410121471821753</v>
          </cell>
          <cell r="J5">
            <v>382.64254487678909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Overview">
    <tabColor theme="6" tint="0.39997558519241921"/>
    <outlinePr summaryBelow="0" summaryRight="0"/>
  </sheetPr>
  <dimension ref="A1:AK269"/>
  <sheetViews>
    <sheetView tabSelected="1" zoomScale="80" zoomScaleNormal="80" workbookViewId="0">
      <selection activeCell="C9" sqref="C9"/>
    </sheetView>
  </sheetViews>
  <sheetFormatPr baseColWidth="10" defaultRowHeight="14.4" x14ac:dyDescent="0.3"/>
  <cols>
    <col min="1" max="1" width="4.44140625" style="171" customWidth="1"/>
    <col min="2" max="2" width="38.44140625" style="163" customWidth="1"/>
    <col min="3" max="3" width="15.5546875" style="163" customWidth="1"/>
    <col min="4" max="4" width="5.44140625" style="171" customWidth="1"/>
    <col min="5" max="5" width="34.6640625" bestFit="1" customWidth="1"/>
    <col min="6" max="6" width="11.44140625" customWidth="1"/>
    <col min="8" max="8" width="15.5546875" customWidth="1"/>
    <col min="9" max="9" width="15.5546875" style="163" customWidth="1"/>
    <col min="10" max="10" width="15.5546875" customWidth="1"/>
    <col min="11" max="11" width="15.5546875" style="31" customWidth="1"/>
    <col min="12" max="12" width="20.109375" customWidth="1"/>
    <col min="13" max="13" width="13.88671875" customWidth="1"/>
    <col min="14" max="14" width="10.88671875" style="171"/>
    <col min="15" max="37" width="11.5546875" style="171"/>
  </cols>
  <sheetData>
    <row r="1" spans="2:13" s="171" customFormat="1" x14ac:dyDescent="0.3">
      <c r="E1" s="328"/>
      <c r="G1" s="329"/>
      <c r="H1" s="329"/>
      <c r="I1" s="330"/>
      <c r="K1" s="295"/>
      <c r="L1" s="330"/>
      <c r="M1" s="330"/>
    </row>
    <row r="2" spans="2:13" s="171" customFormat="1" ht="15" thickBot="1" x14ac:dyDescent="0.35">
      <c r="B2" s="110"/>
      <c r="E2" s="330"/>
      <c r="F2" s="330"/>
      <c r="G2" s="330"/>
      <c r="H2" s="330"/>
      <c r="I2" s="330"/>
      <c r="J2" s="330"/>
      <c r="K2" s="331"/>
      <c r="L2" s="330"/>
      <c r="M2" s="330"/>
    </row>
    <row r="3" spans="2:13" ht="18.600000000000001" thickBot="1" x14ac:dyDescent="0.4">
      <c r="B3" s="70" t="s">
        <v>45</v>
      </c>
      <c r="C3" s="2">
        <v>11.19</v>
      </c>
      <c r="E3" s="332" t="s">
        <v>0</v>
      </c>
      <c r="F3" s="333"/>
      <c r="G3" s="334"/>
      <c r="H3" s="335"/>
      <c r="I3" s="334"/>
      <c r="J3" s="1" t="s">
        <v>225</v>
      </c>
      <c r="K3" s="59"/>
      <c r="L3" s="59"/>
      <c r="M3" s="53">
        <f>costs_GCA/1000</f>
        <v>126092.6</v>
      </c>
    </row>
    <row r="4" spans="2:13" ht="15" thickBot="1" x14ac:dyDescent="0.35">
      <c r="B4" s="70" t="s">
        <v>44</v>
      </c>
      <c r="C4" s="21">
        <v>0.1</v>
      </c>
      <c r="E4" s="336"/>
      <c r="F4" s="337"/>
      <c r="G4" s="338"/>
      <c r="H4" s="339"/>
      <c r="I4" s="339"/>
      <c r="J4" s="337"/>
      <c r="K4" s="340"/>
      <c r="L4" s="337"/>
      <c r="M4" s="341"/>
    </row>
    <row r="5" spans="2:13" ht="15" thickBot="1" x14ac:dyDescent="0.35">
      <c r="B5" s="70" t="s">
        <v>112</v>
      </c>
      <c r="C5" s="21">
        <v>1</v>
      </c>
      <c r="E5" s="4"/>
      <c r="F5" s="3"/>
      <c r="G5" s="5" t="s">
        <v>126</v>
      </c>
      <c r="H5" s="5" t="s">
        <v>1</v>
      </c>
      <c r="I5" s="5" t="s">
        <v>217</v>
      </c>
      <c r="J5" s="5" t="s">
        <v>219</v>
      </c>
      <c r="K5" s="7" t="s">
        <v>126</v>
      </c>
      <c r="L5" s="369" t="e">
        <f>'Reference VO 4RP'!#REF!</f>
        <v>#REF!</v>
      </c>
      <c r="M5" s="6" t="s">
        <v>127</v>
      </c>
    </row>
    <row r="6" spans="2:13" ht="15" thickBot="1" x14ac:dyDescent="0.35">
      <c r="B6" s="70" t="s">
        <v>113</v>
      </c>
      <c r="C6" s="21">
        <v>0.5</v>
      </c>
      <c r="E6" s="12" t="s">
        <v>250</v>
      </c>
      <c r="F6" s="8" t="s">
        <v>2</v>
      </c>
      <c r="G6" s="9" t="s">
        <v>224</v>
      </c>
      <c r="H6" s="9" t="s">
        <v>172</v>
      </c>
      <c r="I6" s="9" t="s">
        <v>218</v>
      </c>
      <c r="J6" s="9" t="s">
        <v>218</v>
      </c>
      <c r="K6" s="10" t="s">
        <v>224</v>
      </c>
      <c r="L6" s="370"/>
      <c r="M6" s="11"/>
    </row>
    <row r="7" spans="2:13" ht="15" thickBot="1" x14ac:dyDescent="0.35">
      <c r="B7" s="70" t="s">
        <v>247</v>
      </c>
      <c r="C7" s="21">
        <v>1</v>
      </c>
      <c r="E7" s="12"/>
      <c r="F7" s="8"/>
      <c r="G7" s="68" t="s">
        <v>120</v>
      </c>
      <c r="H7" s="68" t="s">
        <v>120</v>
      </c>
      <c r="I7" s="68" t="s">
        <v>120</v>
      </c>
      <c r="J7" s="68"/>
      <c r="K7" s="258" t="s">
        <v>120</v>
      </c>
      <c r="L7" s="259" t="s">
        <v>128</v>
      </c>
      <c r="M7" s="260" t="s">
        <v>119</v>
      </c>
    </row>
    <row r="8" spans="2:13" ht="15" thickBot="1" x14ac:dyDescent="0.35">
      <c r="B8" s="70" t="s">
        <v>183</v>
      </c>
      <c r="C8" s="347">
        <v>0.1</v>
      </c>
      <c r="E8" s="12" t="s">
        <v>3</v>
      </c>
      <c r="F8" s="8" t="s">
        <v>4</v>
      </c>
      <c r="G8" s="267">
        <f>ROUND(VTPB!AN10,2)</f>
        <v>0.85</v>
      </c>
      <c r="H8" s="179">
        <f>'Reference VO 4RP'!F5</f>
        <v>0.77</v>
      </c>
      <c r="I8" s="67">
        <f>G8-H8</f>
        <v>7.999999999999996E-2</v>
      </c>
      <c r="J8" s="265">
        <f>IFERROR(ROUND(+G8/H8-1,2),"")</f>
        <v>0.1</v>
      </c>
      <c r="K8" s="274">
        <f>G8</f>
        <v>0.85</v>
      </c>
      <c r="L8" s="291">
        <f>'Reference VO 4RP'!G5</f>
        <v>24228218.73</v>
      </c>
      <c r="M8" s="262">
        <f t="shared" ref="M8:M31" si="0">K8*L8*GCV/GCV/1000</f>
        <v>20593.985920499999</v>
      </c>
    </row>
    <row r="9" spans="2:13" ht="15" thickBot="1" x14ac:dyDescent="0.35">
      <c r="B9" s="70" t="s">
        <v>234</v>
      </c>
      <c r="C9" s="51">
        <f>(1+max_increase)*Overview!H17+'Benchmark Murfeld'!G2</f>
        <v>1.8999957199999997</v>
      </c>
      <c r="E9" s="12" t="s">
        <v>5</v>
      </c>
      <c r="F9" s="8" t="s">
        <v>6</v>
      </c>
      <c r="G9" s="267">
        <f>ROUND(VTPB!AN11,2)</f>
        <v>0.97</v>
      </c>
      <c r="H9" s="179">
        <f>'Reference VO 4RP'!F6</f>
        <v>1.3</v>
      </c>
      <c r="I9" s="67">
        <f t="shared" ref="I9:I25" si="1">G9-H9</f>
        <v>-0.33000000000000007</v>
      </c>
      <c r="J9" s="265">
        <f t="shared" ref="J9:J31" si="2">IFERROR(ROUND(+G9/H9-1,2),"")</f>
        <v>-0.25</v>
      </c>
      <c r="K9" s="274">
        <f t="shared" ref="K9:K31" si="3">G9</f>
        <v>0.97</v>
      </c>
      <c r="L9" s="292">
        <f>'Reference VO 4RP'!G6</f>
        <v>9651005.7300000004</v>
      </c>
      <c r="M9" s="263">
        <f t="shared" si="0"/>
        <v>9361.4755581000009</v>
      </c>
    </row>
    <row r="10" spans="2:13" x14ac:dyDescent="0.3">
      <c r="B10" s="171"/>
      <c r="C10" s="171"/>
      <c r="E10" s="12" t="s">
        <v>7</v>
      </c>
      <c r="F10" s="8" t="s">
        <v>8</v>
      </c>
      <c r="G10" s="267">
        <f>ROUND(VTPB!AN12,2)</f>
        <v>0.97</v>
      </c>
      <c r="H10" s="179">
        <f>'Reference VO 4RP'!F7</f>
        <v>1.3</v>
      </c>
      <c r="I10" s="67">
        <f t="shared" si="1"/>
        <v>-0.33000000000000007</v>
      </c>
      <c r="J10" s="265">
        <f t="shared" si="2"/>
        <v>-0.25</v>
      </c>
      <c r="K10" s="274">
        <f t="shared" si="3"/>
        <v>0.97</v>
      </c>
      <c r="L10" s="292">
        <f>'Reference VO 4RP'!G7</f>
        <v>1393155</v>
      </c>
      <c r="M10" s="263">
        <f t="shared" si="0"/>
        <v>1351.3603499999999</v>
      </c>
    </row>
    <row r="11" spans="2:13" x14ac:dyDescent="0.3">
      <c r="B11" s="171"/>
      <c r="C11" s="171"/>
      <c r="E11" s="12" t="s">
        <v>9</v>
      </c>
      <c r="F11" s="8" t="s">
        <v>10</v>
      </c>
      <c r="G11" s="267">
        <f>ROUND(VTPB!AN15,2)</f>
        <v>0.85</v>
      </c>
      <c r="H11" s="179">
        <f>'Reference VO 4RP'!F8</f>
        <v>0.77</v>
      </c>
      <c r="I11" s="67">
        <f t="shared" si="1"/>
        <v>7.999999999999996E-2</v>
      </c>
      <c r="J11" s="265">
        <f t="shared" si="2"/>
        <v>0.1</v>
      </c>
      <c r="K11" s="274">
        <f t="shared" si="3"/>
        <v>0.85</v>
      </c>
      <c r="L11" s="292">
        <f>'Reference VO 4RP'!G8</f>
        <v>0</v>
      </c>
      <c r="M11" s="263">
        <f t="shared" si="0"/>
        <v>0</v>
      </c>
    </row>
    <row r="12" spans="2:13" x14ac:dyDescent="0.3">
      <c r="B12" s="171"/>
      <c r="C12" s="171"/>
      <c r="E12" s="12" t="s">
        <v>11</v>
      </c>
      <c r="F12" s="8" t="s">
        <v>12</v>
      </c>
      <c r="G12" s="267">
        <f>ROUND(VTPB!AN16,2)</f>
        <v>0.97</v>
      </c>
      <c r="H12" s="179">
        <f>'Reference VO 4RP'!F9</f>
        <v>1.1000000000000001</v>
      </c>
      <c r="I12" s="67">
        <f t="shared" si="1"/>
        <v>-0.13000000000000012</v>
      </c>
      <c r="J12" s="265">
        <f t="shared" si="2"/>
        <v>-0.12</v>
      </c>
      <c r="K12" s="274">
        <f t="shared" si="3"/>
        <v>0.97</v>
      </c>
      <c r="L12" s="292">
        <f>'Reference VO 4RP'!G9</f>
        <v>0</v>
      </c>
      <c r="M12" s="263">
        <f t="shared" si="0"/>
        <v>0</v>
      </c>
    </row>
    <row r="13" spans="2:13" ht="15" thickBot="1" x14ac:dyDescent="0.35">
      <c r="B13" s="328"/>
      <c r="C13" s="171"/>
      <c r="E13" s="12" t="s">
        <v>13</v>
      </c>
      <c r="F13" s="8" t="s">
        <v>14</v>
      </c>
      <c r="G13" s="267">
        <f>ROUND(VTPB!AN17,2)</f>
        <v>0.85</v>
      </c>
      <c r="H13" s="179">
        <f>'Reference VO 4RP'!F10</f>
        <v>0.77</v>
      </c>
      <c r="I13" s="67">
        <f t="shared" si="1"/>
        <v>7.999999999999996E-2</v>
      </c>
      <c r="J13" s="265">
        <f t="shared" si="2"/>
        <v>0.1</v>
      </c>
      <c r="K13" s="274">
        <f t="shared" si="3"/>
        <v>0.85</v>
      </c>
      <c r="L13" s="292">
        <f>'Reference VO 4RP'!G10</f>
        <v>0</v>
      </c>
      <c r="M13" s="263">
        <f t="shared" si="0"/>
        <v>0</v>
      </c>
    </row>
    <row r="14" spans="2:13" ht="15" thickBot="1" x14ac:dyDescent="0.35">
      <c r="B14" s="64" t="s">
        <v>278</v>
      </c>
      <c r="C14" s="168">
        <f>VTPB!V67</f>
        <v>0.20622113659017899</v>
      </c>
      <c r="E14" s="12" t="s">
        <v>15</v>
      </c>
      <c r="F14" s="8" t="s">
        <v>16</v>
      </c>
      <c r="G14" s="268">
        <f>ROUND(VTPB!AN35,2)</f>
        <v>1.23</v>
      </c>
      <c r="H14" s="179">
        <f>'Reference VO 4RP'!F11</f>
        <v>1.1200000000000001</v>
      </c>
      <c r="I14" s="67">
        <f t="shared" si="1"/>
        <v>0.10999999999999988</v>
      </c>
      <c r="J14" s="265">
        <f t="shared" si="2"/>
        <v>0.1</v>
      </c>
      <c r="K14" s="274">
        <f t="shared" si="3"/>
        <v>1.23</v>
      </c>
      <c r="L14" s="292">
        <f>'Reference VO 4RP'!G11</f>
        <v>5436471.2699999996</v>
      </c>
      <c r="M14" s="263">
        <f t="shared" si="0"/>
        <v>6686.8596620999997</v>
      </c>
    </row>
    <row r="15" spans="2:13" ht="15" thickBot="1" x14ac:dyDescent="0.35">
      <c r="B15" s="64" t="s">
        <v>123</v>
      </c>
      <c r="C15" s="69">
        <f>costs_GCA+costs_TAG</f>
        <v>404925800</v>
      </c>
      <c r="E15" s="12" t="s">
        <v>17</v>
      </c>
      <c r="F15" s="8" t="s">
        <v>18</v>
      </c>
      <c r="G15" s="268">
        <f>ROUND(VTPB!AN38,2)</f>
        <v>3.26</v>
      </c>
      <c r="H15" s="179">
        <f>'Reference VO 4RP'!F12</f>
        <v>3.44</v>
      </c>
      <c r="I15" s="67">
        <f t="shared" si="1"/>
        <v>-0.18000000000000016</v>
      </c>
      <c r="J15" s="265">
        <f t="shared" si="2"/>
        <v>-0.05</v>
      </c>
      <c r="K15" s="274">
        <f t="shared" si="3"/>
        <v>3.26</v>
      </c>
      <c r="L15" s="292">
        <f>'Reference VO 4RP'!G12</f>
        <v>15660326.67</v>
      </c>
      <c r="M15" s="263">
        <f t="shared" si="0"/>
        <v>51052.664944199983</v>
      </c>
    </row>
    <row r="16" spans="2:13" ht="15" thickBot="1" x14ac:dyDescent="0.35">
      <c r="B16" s="279" t="s">
        <v>286</v>
      </c>
      <c r="C16" s="348">
        <v>116261000</v>
      </c>
      <c r="E16" s="12" t="s">
        <v>19</v>
      </c>
      <c r="F16" s="8" t="s">
        <v>20</v>
      </c>
      <c r="G16" s="268">
        <f>ROUND(VTPB!AN37,2)</f>
        <v>1.9</v>
      </c>
      <c r="H16" s="179">
        <f>'Reference VO 4RP'!F13</f>
        <v>3.33</v>
      </c>
      <c r="I16" s="67">
        <f t="shared" si="1"/>
        <v>-1.4300000000000002</v>
      </c>
      <c r="J16" s="265">
        <f t="shared" si="2"/>
        <v>-0.43</v>
      </c>
      <c r="K16" s="274">
        <f t="shared" si="3"/>
        <v>1.9</v>
      </c>
      <c r="L16" s="292">
        <f>'Reference VO 4RP'!G13</f>
        <v>3382423.6799999997</v>
      </c>
      <c r="M16" s="263">
        <f t="shared" si="0"/>
        <v>6426.6049919999987</v>
      </c>
    </row>
    <row r="17" spans="2:13" ht="15" thickBot="1" x14ac:dyDescent="0.35">
      <c r="B17" s="279" t="s">
        <v>285</v>
      </c>
      <c r="C17" s="348">
        <v>9831600</v>
      </c>
      <c r="E17" s="12" t="s">
        <v>21</v>
      </c>
      <c r="F17" s="8" t="s">
        <v>22</v>
      </c>
      <c r="G17" s="268">
        <f>ROUND(VTPB!AN36,2)</f>
        <v>1.23</v>
      </c>
      <c r="H17" s="179">
        <f>'Reference VO 4RP'!F14</f>
        <v>1.1200000000000001</v>
      </c>
      <c r="I17" s="67">
        <f t="shared" si="1"/>
        <v>0.10999999999999988</v>
      </c>
      <c r="J17" s="265">
        <f t="shared" si="2"/>
        <v>0.1</v>
      </c>
      <c r="K17" s="274">
        <f t="shared" si="3"/>
        <v>1.23</v>
      </c>
      <c r="L17" s="292">
        <f>'Reference VO 4RP'!G14</f>
        <v>6378300</v>
      </c>
      <c r="M17" s="263">
        <f t="shared" si="0"/>
        <v>7845.3090000000002</v>
      </c>
    </row>
    <row r="18" spans="2:13" ht="15" thickBot="1" x14ac:dyDescent="0.35">
      <c r="B18" s="65" t="s">
        <v>226</v>
      </c>
      <c r="C18" s="69">
        <f>C17+C16</f>
        <v>126092600</v>
      </c>
      <c r="E18" s="12" t="s">
        <v>251</v>
      </c>
      <c r="F18" s="8" t="s">
        <v>23</v>
      </c>
      <c r="G18" s="268">
        <f>ROUND(VTPB!AN39,2)</f>
        <v>1.23</v>
      </c>
      <c r="H18" s="179">
        <f>'Reference VO 4RP'!F15</f>
        <v>1.1200000000000001</v>
      </c>
      <c r="I18" s="67">
        <f t="shared" si="1"/>
        <v>0.10999999999999988</v>
      </c>
      <c r="J18" s="265">
        <f t="shared" si="2"/>
        <v>0.1</v>
      </c>
      <c r="K18" s="274">
        <f t="shared" si="3"/>
        <v>1.23</v>
      </c>
      <c r="L18" s="292">
        <f>'Reference VO 4RP'!G15</f>
        <v>0</v>
      </c>
      <c r="M18" s="263">
        <f t="shared" si="0"/>
        <v>0</v>
      </c>
    </row>
    <row r="19" spans="2:13" ht="15" thickBot="1" x14ac:dyDescent="0.35">
      <c r="B19" s="279" t="s">
        <v>288</v>
      </c>
      <c r="C19" s="348">
        <v>209336400</v>
      </c>
      <c r="E19" s="12" t="s">
        <v>252</v>
      </c>
      <c r="F19" s="8" t="s">
        <v>25</v>
      </c>
      <c r="G19" s="268">
        <f>ROUND(VTPB!AN59,2)</f>
        <v>0.42</v>
      </c>
      <c r="H19" s="179">
        <f>'Reference VO 4RP'!F16</f>
        <v>0.53</v>
      </c>
      <c r="I19" s="67">
        <f t="shared" si="1"/>
        <v>-0.11000000000000004</v>
      </c>
      <c r="J19" s="265">
        <f t="shared" si="2"/>
        <v>-0.21</v>
      </c>
      <c r="K19" s="274">
        <f t="shared" si="3"/>
        <v>0.42</v>
      </c>
      <c r="L19" s="292">
        <f>'Reference VO 4RP'!G16</f>
        <v>21422795</v>
      </c>
      <c r="M19" s="263">
        <f t="shared" si="0"/>
        <v>8997.5739000000012</v>
      </c>
    </row>
    <row r="20" spans="2:13" ht="15" thickBot="1" x14ac:dyDescent="0.35">
      <c r="B20" s="279" t="s">
        <v>287</v>
      </c>
      <c r="C20" s="348">
        <v>69496800</v>
      </c>
      <c r="E20" s="12" t="s">
        <v>253</v>
      </c>
      <c r="F20" s="8"/>
      <c r="G20" s="267">
        <f>ROUND(VTPB!AN18,2)</f>
        <v>0</v>
      </c>
      <c r="H20" s="179">
        <f>'Reference VO 4RP'!F17</f>
        <v>0</v>
      </c>
      <c r="I20" s="67">
        <f t="shared" si="1"/>
        <v>0</v>
      </c>
      <c r="J20" s="265" t="str">
        <f t="shared" si="2"/>
        <v/>
      </c>
      <c r="K20" s="274">
        <f t="shared" si="3"/>
        <v>0</v>
      </c>
      <c r="L20" s="292">
        <f>'Reference VO 4RP'!G17</f>
        <v>10848000</v>
      </c>
      <c r="M20" s="263">
        <f t="shared" si="0"/>
        <v>0</v>
      </c>
    </row>
    <row r="21" spans="2:13" ht="15" thickBot="1" x14ac:dyDescent="0.35">
      <c r="B21" s="65" t="s">
        <v>227</v>
      </c>
      <c r="C21" s="69">
        <f>C20+C19</f>
        <v>278833200</v>
      </c>
      <c r="E21" s="12" t="s">
        <v>26</v>
      </c>
      <c r="F21" s="8" t="s">
        <v>27</v>
      </c>
      <c r="G21" s="268">
        <f>ROUND(VTPB!AN40,2)</f>
        <v>3.26</v>
      </c>
      <c r="H21" s="179">
        <f>'Reference VO 4RP'!F18</f>
        <v>3.44</v>
      </c>
      <c r="I21" s="67">
        <f t="shared" si="1"/>
        <v>-0.18000000000000016</v>
      </c>
      <c r="J21" s="265">
        <f t="shared" si="2"/>
        <v>-0.05</v>
      </c>
      <c r="K21" s="274">
        <f t="shared" si="3"/>
        <v>3.26</v>
      </c>
      <c r="L21" s="292">
        <f>'Reference VO 4RP'!G18</f>
        <v>265538.7</v>
      </c>
      <c r="M21" s="263">
        <f t="shared" si="0"/>
        <v>865.65616199999988</v>
      </c>
    </row>
    <row r="22" spans="2:13" ht="15" thickBot="1" x14ac:dyDescent="0.35">
      <c r="B22" s="64" t="s">
        <v>185</v>
      </c>
      <c r="C22" s="69">
        <f>-M35*1000</f>
        <v>14930464.072400035</v>
      </c>
      <c r="E22" s="12" t="s">
        <v>254</v>
      </c>
      <c r="F22" s="8" t="s">
        <v>28</v>
      </c>
      <c r="G22" s="267">
        <f>ROUND(VTPB!AO12,2)</f>
        <v>0.88</v>
      </c>
      <c r="H22" s="179">
        <f>'Reference VO 4RP'!F19</f>
        <v>1.1700000000000002</v>
      </c>
      <c r="I22" s="67">
        <f t="shared" si="1"/>
        <v>-0.29000000000000015</v>
      </c>
      <c r="J22" s="265">
        <f t="shared" si="2"/>
        <v>-0.25</v>
      </c>
      <c r="K22" s="274">
        <f t="shared" si="3"/>
        <v>0.88</v>
      </c>
      <c r="L22" s="292">
        <f>'Reference VO 4RP'!G19</f>
        <v>3357000</v>
      </c>
      <c r="M22" s="263">
        <f t="shared" si="0"/>
        <v>2954.16</v>
      </c>
    </row>
    <row r="23" spans="2:13" ht="15" thickBot="1" x14ac:dyDescent="0.35">
      <c r="B23" s="1" t="s">
        <v>146</v>
      </c>
      <c r="C23" s="168">
        <f>CAA!L31</f>
        <v>0.12288309037350714</v>
      </c>
      <c r="E23" s="12" t="s">
        <v>255</v>
      </c>
      <c r="F23" s="8" t="s">
        <v>29</v>
      </c>
      <c r="G23" s="268">
        <f>ROUND(VTPB!AO59,2)</f>
        <v>0.38</v>
      </c>
      <c r="H23" s="179">
        <f>'Reference VO 4RP'!F20</f>
        <v>0.48</v>
      </c>
      <c r="I23" s="67">
        <f t="shared" si="1"/>
        <v>-9.9999999999999978E-2</v>
      </c>
      <c r="J23" s="265">
        <f t="shared" si="2"/>
        <v>-0.21</v>
      </c>
      <c r="K23" s="274">
        <f t="shared" si="3"/>
        <v>0.38</v>
      </c>
      <c r="L23" s="292">
        <f>'Reference VO 4RP'!G20</f>
        <v>4635629</v>
      </c>
      <c r="M23" s="263">
        <f t="shared" si="0"/>
        <v>1761.5390199999999</v>
      </c>
    </row>
    <row r="24" spans="2:13" ht="15" thickBot="1" x14ac:dyDescent="0.35">
      <c r="B24" s="1" t="s">
        <v>233</v>
      </c>
      <c r="C24" s="92">
        <f>SUM(CAA!F21,CAA!F23)/SUM(CAA!F21:F24)</f>
        <v>7.5043410137245636E-2</v>
      </c>
      <c r="E24" s="12" t="s">
        <v>256</v>
      </c>
      <c r="F24" s="8" t="s">
        <v>30</v>
      </c>
      <c r="G24" s="268">
        <f>ROUND(VTPB!AO59,2)</f>
        <v>0.38</v>
      </c>
      <c r="H24" s="179">
        <f>'Reference VO 4RP'!F21</f>
        <v>0.48</v>
      </c>
      <c r="I24" s="67">
        <f t="shared" si="1"/>
        <v>-9.9999999999999978E-2</v>
      </c>
      <c r="J24" s="265">
        <f t="shared" si="2"/>
        <v>-0.21</v>
      </c>
      <c r="K24" s="274">
        <f t="shared" si="3"/>
        <v>0.38</v>
      </c>
      <c r="L24" s="292">
        <f>'Reference VO 4RP'!G21</f>
        <v>2378663</v>
      </c>
      <c r="M24" s="263">
        <f t="shared" si="0"/>
        <v>903.8919400000002</v>
      </c>
    </row>
    <row r="25" spans="2:13" x14ac:dyDescent="0.3">
      <c r="B25" s="171"/>
      <c r="C25" s="171"/>
      <c r="E25" s="12" t="s">
        <v>257</v>
      </c>
      <c r="F25" s="8" t="s">
        <v>31</v>
      </c>
      <c r="G25" s="268">
        <f>ROUND(VTPB!AO40,2)</f>
        <v>2.93</v>
      </c>
      <c r="H25" s="179">
        <f>'Reference VO 4RP'!F22</f>
        <v>2.99</v>
      </c>
      <c r="I25" s="67">
        <f t="shared" si="1"/>
        <v>-6.0000000000000053E-2</v>
      </c>
      <c r="J25" s="265">
        <f t="shared" si="2"/>
        <v>-0.02</v>
      </c>
      <c r="K25" s="274">
        <f t="shared" si="3"/>
        <v>2.93</v>
      </c>
      <c r="L25" s="292">
        <f>'Reference VO 4RP'!G22</f>
        <v>6468513.7799999993</v>
      </c>
      <c r="M25" s="263">
        <f t="shared" si="0"/>
        <v>18952.745375399998</v>
      </c>
    </row>
    <row r="26" spans="2:13" x14ac:dyDescent="0.3">
      <c r="B26" s="171"/>
      <c r="C26" s="171"/>
      <c r="E26" s="12" t="s">
        <v>258</v>
      </c>
      <c r="F26" s="8" t="s">
        <v>32</v>
      </c>
      <c r="G26" s="252">
        <f>ROUND(H26,2)</f>
        <v>0.14000000000000001</v>
      </c>
      <c r="H26" s="179">
        <f>'Reference VO 4RP'!F23</f>
        <v>0.14000000000000001</v>
      </c>
      <c r="I26" s="67">
        <f t="shared" ref="I26:I27" si="4">G26-H26</f>
        <v>0</v>
      </c>
      <c r="J26" s="265">
        <f t="shared" si="2"/>
        <v>0</v>
      </c>
      <c r="K26" s="274">
        <f t="shared" si="3"/>
        <v>0.14000000000000001</v>
      </c>
      <c r="L26" s="292">
        <f>'Reference VO 4RP'!G23</f>
        <v>0</v>
      </c>
      <c r="M26" s="263">
        <f t="shared" si="0"/>
        <v>0</v>
      </c>
    </row>
    <row r="27" spans="2:13" x14ac:dyDescent="0.3">
      <c r="B27" s="171"/>
      <c r="C27" s="171"/>
      <c r="E27" s="12" t="s">
        <v>259</v>
      </c>
      <c r="F27" s="8" t="s">
        <v>33</v>
      </c>
      <c r="G27" s="252">
        <f>ROUND(H27,2)</f>
        <v>0.14000000000000001</v>
      </c>
      <c r="H27" s="179">
        <f>'Reference VO 4RP'!F24</f>
        <v>0.14000000000000001</v>
      </c>
      <c r="I27" s="67">
        <f t="shared" si="4"/>
        <v>0</v>
      </c>
      <c r="J27" s="265">
        <f t="shared" si="2"/>
        <v>0</v>
      </c>
      <c r="K27" s="274">
        <f t="shared" si="3"/>
        <v>0.14000000000000001</v>
      </c>
      <c r="L27" s="292">
        <f>'Reference VO 4RP'!G24</f>
        <v>0</v>
      </c>
      <c r="M27" s="263">
        <f t="shared" si="0"/>
        <v>0</v>
      </c>
    </row>
    <row r="28" spans="2:13" x14ac:dyDescent="0.3">
      <c r="B28" s="171"/>
      <c r="C28" s="171"/>
      <c r="E28" s="12" t="s">
        <v>260</v>
      </c>
      <c r="F28" s="8" t="s">
        <v>34</v>
      </c>
      <c r="G28" s="269">
        <f>ROUND(VTPB!AN42,2)</f>
        <v>0.44</v>
      </c>
      <c r="H28" s="179">
        <f>'Reference VO 4RP'!F25</f>
        <v>0.4</v>
      </c>
      <c r="I28" s="67">
        <f>G28-H28</f>
        <v>3.999999999999998E-2</v>
      </c>
      <c r="J28" s="265">
        <f t="shared" si="2"/>
        <v>0.1</v>
      </c>
      <c r="K28" s="274">
        <f t="shared" si="3"/>
        <v>0.44</v>
      </c>
      <c r="L28" s="292">
        <f>'Reference VO 4RP'!G25</f>
        <v>2950825</v>
      </c>
      <c r="M28" s="263">
        <f t="shared" si="0"/>
        <v>1298.3630000000001</v>
      </c>
    </row>
    <row r="29" spans="2:13" x14ac:dyDescent="0.3">
      <c r="B29" s="236" t="s">
        <v>274</v>
      </c>
      <c r="C29" s="237"/>
      <c r="E29" s="12" t="s">
        <v>261</v>
      </c>
      <c r="F29" s="8"/>
      <c r="G29" s="269">
        <f>ROUND(VTPB!AN14,2)</f>
        <v>0</v>
      </c>
      <c r="H29" s="179">
        <f>'Reference VO 4RP'!F26</f>
        <v>0</v>
      </c>
      <c r="I29" s="67">
        <f>G29-H29</f>
        <v>0</v>
      </c>
      <c r="J29" s="265" t="str">
        <f t="shared" si="2"/>
        <v/>
      </c>
      <c r="K29" s="274">
        <f t="shared" si="3"/>
        <v>0</v>
      </c>
      <c r="L29" s="292">
        <f>'Reference VO 4RP'!G26</f>
        <v>2950825</v>
      </c>
      <c r="M29" s="263">
        <f t="shared" si="0"/>
        <v>0</v>
      </c>
    </row>
    <row r="30" spans="2:13" x14ac:dyDescent="0.3">
      <c r="B30" s="238" t="s">
        <v>275</v>
      </c>
      <c r="C30" s="239" t="b">
        <f>IFERROR(AND(ABS(M32+M50-(costs_GCA+costs_TAG)/1000)&lt;600),FALSE)</f>
        <v>1</v>
      </c>
      <c r="E30" s="12" t="s">
        <v>262</v>
      </c>
      <c r="F30" s="8"/>
      <c r="G30" s="269">
        <f>ROUND(VTPB!AN13,2)</f>
        <v>0</v>
      </c>
      <c r="H30" s="179">
        <f>'Reference VO 4RP'!F27</f>
        <v>0</v>
      </c>
      <c r="I30" s="67">
        <f>G30-H30</f>
        <v>0</v>
      </c>
      <c r="J30" s="265" t="str">
        <f t="shared" si="2"/>
        <v/>
      </c>
      <c r="K30" s="274">
        <f t="shared" si="3"/>
        <v>0</v>
      </c>
      <c r="L30" s="292">
        <f>'Reference VO 4RP'!G27</f>
        <v>5749393</v>
      </c>
      <c r="M30" s="263">
        <f t="shared" si="0"/>
        <v>0</v>
      </c>
    </row>
    <row r="31" spans="2:13" ht="15" thickBot="1" x14ac:dyDescent="0.35">
      <c r="B31" s="235" t="s">
        <v>276</v>
      </c>
      <c r="C31" s="240" t="b">
        <f>IFERROR(MAX(J8:J31,J44:J49)&lt;=max_increase,FALSE)</f>
        <v>1</v>
      </c>
      <c r="E31" s="13" t="s">
        <v>263</v>
      </c>
      <c r="F31" s="14" t="s">
        <v>35</v>
      </c>
      <c r="G31" s="270">
        <f>ROUND(VTPB!AN41,2)</f>
        <v>0.44</v>
      </c>
      <c r="H31" s="180">
        <f>'Reference VO 4RP'!F28</f>
        <v>0.4</v>
      </c>
      <c r="I31" s="71">
        <f>G31-H31</f>
        <v>3.999999999999998E-2</v>
      </c>
      <c r="J31" s="266">
        <f t="shared" si="2"/>
        <v>0.1</v>
      </c>
      <c r="K31" s="275">
        <f t="shared" si="3"/>
        <v>0.44</v>
      </c>
      <c r="L31" s="293">
        <f>'Reference VO 4RP'!G28</f>
        <v>5749393</v>
      </c>
      <c r="M31" s="264">
        <f t="shared" si="0"/>
        <v>2529.7329199999999</v>
      </c>
    </row>
    <row r="32" spans="2:13" ht="15" thickBot="1" x14ac:dyDescent="0.35">
      <c r="B32" s="241" t="s">
        <v>277</v>
      </c>
      <c r="C32" s="242" t="b">
        <f>IFERROR(ABS(M35+M53)&lt;0.5,FALSE)</f>
        <v>1</v>
      </c>
      <c r="E32" s="12" t="s">
        <v>209</v>
      </c>
      <c r="F32" s="8"/>
      <c r="G32" s="15"/>
      <c r="H32" s="15"/>
      <c r="I32" s="15"/>
      <c r="J32" s="15"/>
      <c r="K32" s="15"/>
      <c r="L32" s="15"/>
      <c r="M32" s="288">
        <f>SUM(M8:M31)</f>
        <v>141581.92274429998</v>
      </c>
    </row>
    <row r="33" spans="1:37" ht="15" thickBot="1" x14ac:dyDescent="0.35">
      <c r="B33" s="342"/>
      <c r="C33" s="343"/>
      <c r="E33" s="12" t="s">
        <v>124</v>
      </c>
      <c r="F33" s="8"/>
      <c r="G33" s="15"/>
      <c r="H33" s="15"/>
      <c r="I33" s="15"/>
      <c r="J33" s="15"/>
      <c r="K33" s="15"/>
      <c r="L33" s="15"/>
      <c r="M33" s="54"/>
    </row>
    <row r="34" spans="1:37" ht="15" thickBot="1" x14ac:dyDescent="0.35">
      <c r="B34" s="342"/>
      <c r="C34" s="344"/>
      <c r="E34" s="4" t="s">
        <v>210</v>
      </c>
      <c r="F34" s="3"/>
      <c r="G34" s="52"/>
      <c r="H34" s="52"/>
      <c r="I34" s="52"/>
      <c r="J34" s="52"/>
      <c r="K34" s="52"/>
      <c r="L34" s="52"/>
      <c r="M34" s="66">
        <f>M32-(costs_GCA)/1000</f>
        <v>15489.322744299978</v>
      </c>
      <c r="O34" s="296"/>
    </row>
    <row r="35" spans="1:37" ht="15" thickBot="1" x14ac:dyDescent="0.35">
      <c r="B35" s="345"/>
      <c r="C35" s="343"/>
      <c r="E35" s="13" t="s">
        <v>129</v>
      </c>
      <c r="F35" s="14"/>
      <c r="G35" s="16"/>
      <c r="H35" s="16"/>
      <c r="I35" s="16"/>
      <c r="J35" s="16"/>
      <c r="K35" s="16"/>
      <c r="L35" s="16"/>
      <c r="M35" s="58">
        <f>M3-M32+M59</f>
        <v>-14930.464072400035</v>
      </c>
    </row>
    <row r="36" spans="1:37" ht="15" thickBot="1" x14ac:dyDescent="0.35">
      <c r="B36" s="342"/>
      <c r="C36" s="342"/>
      <c r="E36" s="13" t="s">
        <v>125</v>
      </c>
      <c r="F36" s="14"/>
      <c r="G36" s="16"/>
      <c r="H36" s="16"/>
      <c r="I36" s="16"/>
      <c r="J36" s="16"/>
      <c r="K36" s="16"/>
      <c r="L36" s="16"/>
      <c r="M36" s="57">
        <f>M32+M35-M3</f>
        <v>558.85867189994315</v>
      </c>
    </row>
    <row r="37" spans="1:37" ht="15" thickBot="1" x14ac:dyDescent="0.35">
      <c r="B37" s="342"/>
      <c r="C37" s="342"/>
      <c r="E37" s="171"/>
      <c r="F37" s="171"/>
      <c r="G37" s="171"/>
      <c r="H37" s="171"/>
      <c r="I37" s="171"/>
      <c r="J37" s="171"/>
      <c r="K37" s="295"/>
      <c r="L37" s="171"/>
      <c r="M37" s="171"/>
    </row>
    <row r="38" spans="1:37" ht="18.600000000000001" thickBot="1" x14ac:dyDescent="0.4">
      <c r="B38" s="342"/>
      <c r="C38" s="342"/>
      <c r="E38" s="332" t="s">
        <v>36</v>
      </c>
      <c r="F38" s="333"/>
      <c r="G38" s="335"/>
      <c r="H38" s="335"/>
      <c r="I38" s="334"/>
      <c r="J38" s="1" t="s">
        <v>225</v>
      </c>
      <c r="K38" s="59"/>
      <c r="L38" s="59"/>
      <c r="M38" s="53">
        <f>costs_TAG/1000</f>
        <v>278833.2</v>
      </c>
    </row>
    <row r="39" spans="1:37" ht="15" thickBot="1" x14ac:dyDescent="0.35">
      <c r="B39" s="342"/>
      <c r="C39" s="342"/>
      <c r="E39" s="336"/>
      <c r="F39" s="337"/>
      <c r="G39" s="338"/>
      <c r="H39" s="339"/>
      <c r="I39" s="339"/>
      <c r="J39" s="337"/>
      <c r="K39" s="340"/>
      <c r="L39" s="337"/>
      <c r="M39" s="341"/>
    </row>
    <row r="40" spans="1:37" ht="14.4" customHeight="1" x14ac:dyDescent="0.3">
      <c r="B40" s="171"/>
      <c r="C40" s="171"/>
      <c r="E40" s="4"/>
      <c r="F40" s="3"/>
      <c r="G40" s="5" t="s">
        <v>126</v>
      </c>
      <c r="H40" s="5" t="s">
        <v>1</v>
      </c>
      <c r="I40" s="5" t="s">
        <v>217</v>
      </c>
      <c r="J40" s="5" t="s">
        <v>219</v>
      </c>
      <c r="K40" s="7" t="s">
        <v>126</v>
      </c>
      <c r="L40" s="371" t="e">
        <f>L5</f>
        <v>#REF!</v>
      </c>
      <c r="M40" s="6" t="s">
        <v>127</v>
      </c>
    </row>
    <row r="41" spans="1:37" x14ac:dyDescent="0.3">
      <c r="B41" s="171"/>
      <c r="C41" s="171"/>
      <c r="E41" s="12" t="s">
        <v>68</v>
      </c>
      <c r="F41" s="8" t="s">
        <v>2</v>
      </c>
      <c r="G41" s="9" t="s">
        <v>224</v>
      </c>
      <c r="H41" s="9" t="s">
        <v>172</v>
      </c>
      <c r="I41" s="9" t="s">
        <v>218</v>
      </c>
      <c r="J41" s="9" t="s">
        <v>218</v>
      </c>
      <c r="K41" s="10" t="s">
        <v>224</v>
      </c>
      <c r="L41" s="372"/>
      <c r="M41" s="11"/>
    </row>
    <row r="42" spans="1:37" s="163" customFormat="1" x14ac:dyDescent="0.3">
      <c r="A42" s="171"/>
      <c r="B42" s="171"/>
      <c r="C42" s="171"/>
      <c r="D42" s="171"/>
      <c r="E42" s="12"/>
      <c r="F42" s="8"/>
      <c r="G42" s="9"/>
      <c r="H42" s="9"/>
      <c r="I42" s="9"/>
      <c r="J42" s="9"/>
      <c r="K42" s="10"/>
      <c r="L42" s="372"/>
      <c r="M42" s="1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</row>
    <row r="43" spans="1:37" ht="15" thickBot="1" x14ac:dyDescent="0.35">
      <c r="B43" s="171"/>
      <c r="C43" s="171"/>
      <c r="E43" s="12"/>
      <c r="F43" s="8"/>
      <c r="G43" s="68" t="s">
        <v>120</v>
      </c>
      <c r="H43" s="68" t="s">
        <v>120</v>
      </c>
      <c r="I43" s="68" t="s">
        <v>120</v>
      </c>
      <c r="J43" s="68"/>
      <c r="K43" s="258" t="s">
        <v>120</v>
      </c>
      <c r="L43" s="259" t="s">
        <v>128</v>
      </c>
      <c r="M43" s="260" t="s">
        <v>119</v>
      </c>
    </row>
    <row r="44" spans="1:37" x14ac:dyDescent="0.3">
      <c r="B44" s="171"/>
      <c r="C44" s="171"/>
      <c r="E44" s="12" t="s">
        <v>3</v>
      </c>
      <c r="F44" s="8" t="s">
        <v>4</v>
      </c>
      <c r="G44" s="271">
        <f>ROUND(VTPB!AN10,2)</f>
        <v>0.85</v>
      </c>
      <c r="H44" s="179">
        <f>'Reference VO 4RP'!F29</f>
        <v>0.77</v>
      </c>
      <c r="I44" s="67">
        <f t="shared" ref="I44:I49" si="5">G44-H44</f>
        <v>7.999999999999996E-2</v>
      </c>
      <c r="J44" s="265">
        <f t="shared" ref="J44:J48" si="6">IFERROR(ROUND(+G44/H44-1,2),"")</f>
        <v>0.1</v>
      </c>
      <c r="K44" s="276">
        <f t="shared" ref="K44:K49" si="7">G44</f>
        <v>0.85</v>
      </c>
      <c r="L44" s="261">
        <f>'Reference VO 4RP'!G29</f>
        <v>57643785.539999999</v>
      </c>
      <c r="M44" s="277">
        <f t="shared" ref="M44:M49" si="8">K44*L44*GCV/GCV/1000</f>
        <v>48997.217708999997</v>
      </c>
    </row>
    <row r="45" spans="1:37" x14ac:dyDescent="0.3">
      <c r="B45" s="171"/>
      <c r="C45" s="171"/>
      <c r="E45" s="12" t="s">
        <v>37</v>
      </c>
      <c r="F45" s="8" t="s">
        <v>38</v>
      </c>
      <c r="G45" s="271">
        <f>ROUND(VTPB!AN9,2)</f>
        <v>0.97</v>
      </c>
      <c r="H45" s="179">
        <f>'Reference VO 4RP'!F30</f>
        <v>1.3</v>
      </c>
      <c r="I45" s="67">
        <f t="shared" si="5"/>
        <v>-0.33000000000000007</v>
      </c>
      <c r="J45" s="265">
        <f t="shared" si="6"/>
        <v>-0.25</v>
      </c>
      <c r="K45" s="274">
        <f t="shared" si="7"/>
        <v>0.97</v>
      </c>
      <c r="L45" s="187">
        <f>'Reference VO 4RP'!G30</f>
        <v>0</v>
      </c>
      <c r="M45" s="277">
        <f t="shared" si="8"/>
        <v>0</v>
      </c>
    </row>
    <row r="46" spans="1:37" x14ac:dyDescent="0.3">
      <c r="B46" s="171"/>
      <c r="C46" s="171"/>
      <c r="E46" s="12" t="s">
        <v>39</v>
      </c>
      <c r="F46" s="8" t="s">
        <v>40</v>
      </c>
      <c r="G46" s="273">
        <f>ROUND(VTPB!AN34,2)</f>
        <v>4.3499999999999996</v>
      </c>
      <c r="H46" s="179">
        <f>'Reference VO 4RP'!F31</f>
        <v>4.63</v>
      </c>
      <c r="I46" s="67">
        <f t="shared" si="5"/>
        <v>-0.28000000000000025</v>
      </c>
      <c r="J46" s="265">
        <f t="shared" si="6"/>
        <v>-0.06</v>
      </c>
      <c r="K46" s="274">
        <f t="shared" si="7"/>
        <v>4.3499999999999996</v>
      </c>
      <c r="L46" s="187">
        <f>'Reference VO 4RP'!G31</f>
        <v>48558893.100000009</v>
      </c>
      <c r="M46" s="277">
        <f t="shared" si="8"/>
        <v>211231.184985</v>
      </c>
    </row>
    <row r="47" spans="1:37" x14ac:dyDescent="0.3">
      <c r="B47" s="171"/>
      <c r="C47" s="171"/>
      <c r="E47" s="12" t="s">
        <v>24</v>
      </c>
      <c r="F47" s="8" t="s">
        <v>25</v>
      </c>
      <c r="G47" s="273">
        <f>ROUND(VTPB!AN59,2)</f>
        <v>0.42</v>
      </c>
      <c r="H47" s="179">
        <f>'Reference VO 4RP'!F32</f>
        <v>0.53</v>
      </c>
      <c r="I47" s="67">
        <f t="shared" si="5"/>
        <v>-0.11000000000000004</v>
      </c>
      <c r="J47" s="265">
        <f t="shared" si="6"/>
        <v>-0.21</v>
      </c>
      <c r="K47" s="274">
        <f t="shared" si="7"/>
        <v>0.42</v>
      </c>
      <c r="L47" s="187">
        <f>'Reference VO 4RP'!G32</f>
        <v>3562672</v>
      </c>
      <c r="M47" s="277">
        <f t="shared" si="8"/>
        <v>1496.32224</v>
      </c>
    </row>
    <row r="48" spans="1:37" x14ac:dyDescent="0.3">
      <c r="B48" s="171"/>
      <c r="C48" s="171"/>
      <c r="E48" s="12" t="s">
        <v>248</v>
      </c>
      <c r="F48" s="8" t="s">
        <v>41</v>
      </c>
      <c r="G48" s="273">
        <f>ROUND(VTPB!AN60,2)</f>
        <v>3.85</v>
      </c>
      <c r="H48" s="179">
        <f>'Reference VO 4RP'!F33</f>
        <v>4.2</v>
      </c>
      <c r="I48" s="67">
        <f t="shared" si="5"/>
        <v>-0.35000000000000009</v>
      </c>
      <c r="J48" s="265">
        <f t="shared" si="6"/>
        <v>-0.08</v>
      </c>
      <c r="K48" s="274">
        <f t="shared" si="7"/>
        <v>3.85</v>
      </c>
      <c r="L48" s="187">
        <f>'Reference VO 4RP'!G33</f>
        <v>471871</v>
      </c>
      <c r="M48" s="277">
        <f t="shared" si="8"/>
        <v>1816.7033499999998</v>
      </c>
    </row>
    <row r="49" spans="2:13" ht="15" thickBot="1" x14ac:dyDescent="0.35">
      <c r="B49" s="171"/>
      <c r="C49" s="171"/>
      <c r="E49" s="13" t="s">
        <v>249</v>
      </c>
      <c r="F49" s="14" t="s">
        <v>42</v>
      </c>
      <c r="G49" s="272">
        <f>ROUND(VTPB!AO9,2)</f>
        <v>0.68</v>
      </c>
      <c r="H49" s="180">
        <f>'Reference VO 4RP'!F34</f>
        <v>0.62</v>
      </c>
      <c r="I49" s="71">
        <f t="shared" si="5"/>
        <v>6.0000000000000053E-2</v>
      </c>
      <c r="J49" s="266">
        <f t="shared" ref="J49" si="9">IFERROR(ROUND(+G49/H49-1,2),"")</f>
        <v>0.1</v>
      </c>
      <c r="K49" s="275">
        <f t="shared" si="7"/>
        <v>0.68</v>
      </c>
      <c r="L49" s="188">
        <f>'Reference VO 4RP'!G34</f>
        <v>531334.7699999999</v>
      </c>
      <c r="M49" s="289">
        <f t="shared" si="8"/>
        <v>361.30764359999995</v>
      </c>
    </row>
    <row r="50" spans="2:13" ht="15" thickBot="1" x14ac:dyDescent="0.35">
      <c r="B50" s="171"/>
      <c r="C50" s="171"/>
      <c r="E50" s="12" t="s">
        <v>209</v>
      </c>
      <c r="F50" s="8"/>
      <c r="G50" s="15"/>
      <c r="H50" s="15"/>
      <c r="I50" s="15"/>
      <c r="J50" s="15"/>
      <c r="K50" s="15"/>
      <c r="L50" s="15"/>
      <c r="M50" s="288">
        <f>SUM(M44:M49)</f>
        <v>263902.73592760001</v>
      </c>
    </row>
    <row r="51" spans="2:13" ht="15" thickBot="1" x14ac:dyDescent="0.35">
      <c r="B51" s="171"/>
      <c r="C51" s="171"/>
      <c r="E51" s="12" t="s">
        <v>124</v>
      </c>
      <c r="F51" s="8"/>
      <c r="G51" s="15"/>
      <c r="H51" s="15"/>
      <c r="I51" s="15"/>
      <c r="J51" s="15"/>
      <c r="K51" s="15"/>
      <c r="L51" s="15"/>
      <c r="M51" s="54"/>
    </row>
    <row r="52" spans="2:13" ht="15" thickBot="1" x14ac:dyDescent="0.35">
      <c r="B52" s="171"/>
      <c r="C52" s="171"/>
      <c r="E52" s="4" t="s">
        <v>210</v>
      </c>
      <c r="F52" s="3"/>
      <c r="G52" s="52"/>
      <c r="H52" s="52"/>
      <c r="I52" s="52"/>
      <c r="J52" s="52"/>
      <c r="K52" s="52"/>
      <c r="L52" s="52"/>
      <c r="M52" s="66">
        <f>M50-(costs_TAG)/1000</f>
        <v>-14930.464072400006</v>
      </c>
    </row>
    <row r="53" spans="2:13" ht="15" thickBot="1" x14ac:dyDescent="0.35">
      <c r="B53" s="171"/>
      <c r="C53" s="171"/>
      <c r="E53" s="13" t="s">
        <v>129</v>
      </c>
      <c r="F53" s="14"/>
      <c r="G53" s="16"/>
      <c r="H53" s="16"/>
      <c r="I53" s="16"/>
      <c r="J53" s="16"/>
      <c r="K53" s="16"/>
      <c r="L53" s="16"/>
      <c r="M53" s="58">
        <f>M38-M50</f>
        <v>14930.464072400006</v>
      </c>
    </row>
    <row r="54" spans="2:13" ht="15" thickBot="1" x14ac:dyDescent="0.35">
      <c r="B54" s="171"/>
      <c r="C54" s="171"/>
      <c r="E54" s="13" t="s">
        <v>125</v>
      </c>
      <c r="F54" s="14"/>
      <c r="G54" s="16"/>
      <c r="H54" s="16"/>
      <c r="I54" s="16"/>
      <c r="J54" s="16"/>
      <c r="K54" s="16"/>
      <c r="L54" s="16"/>
      <c r="M54" s="57">
        <f>-(M35+M53)</f>
        <v>2.9103830456733704E-11</v>
      </c>
    </row>
    <row r="55" spans="2:13" x14ac:dyDescent="0.3">
      <c r="B55" s="171"/>
      <c r="C55" s="171"/>
      <c r="E55" s="171"/>
      <c r="F55" s="171"/>
      <c r="G55" s="171"/>
      <c r="H55" s="171"/>
      <c r="I55" s="171"/>
      <c r="J55" s="171"/>
      <c r="K55" s="295"/>
      <c r="L55" s="171"/>
      <c r="M55" s="346"/>
    </row>
    <row r="56" spans="2:13" ht="15" thickBot="1" x14ac:dyDescent="0.35">
      <c r="B56" s="171"/>
      <c r="C56" s="171"/>
      <c r="E56" s="171"/>
      <c r="F56" s="171"/>
      <c r="G56" s="171"/>
      <c r="H56" s="171"/>
      <c r="I56" s="171"/>
      <c r="J56" s="171"/>
      <c r="K56" s="295"/>
      <c r="L56" s="171"/>
      <c r="M56" s="171"/>
    </row>
    <row r="57" spans="2:13" ht="15" thickBot="1" x14ac:dyDescent="0.35">
      <c r="B57" s="171"/>
      <c r="C57" s="171"/>
      <c r="E57" s="171"/>
      <c r="F57" s="171"/>
      <c r="G57" s="171"/>
      <c r="H57" s="171"/>
      <c r="I57" s="171"/>
      <c r="J57" s="1" t="s">
        <v>281</v>
      </c>
      <c r="K57" s="59"/>
      <c r="L57" s="59"/>
      <c r="M57" s="53">
        <f>M38+M3</f>
        <v>404925.80000000005</v>
      </c>
    </row>
    <row r="58" spans="2:13" ht="15" thickBot="1" x14ac:dyDescent="0.35">
      <c r="B58" s="171"/>
      <c r="C58" s="171"/>
      <c r="E58" s="171"/>
      <c r="F58" s="171"/>
      <c r="G58" s="171"/>
      <c r="H58" s="171"/>
      <c r="I58" s="171"/>
      <c r="J58" s="1" t="s">
        <v>289</v>
      </c>
      <c r="K58" s="59"/>
      <c r="L58" s="59"/>
      <c r="M58" s="53">
        <f>M32+M50</f>
        <v>405484.65867189999</v>
      </c>
    </row>
    <row r="59" spans="2:13" ht="15" thickBot="1" x14ac:dyDescent="0.35">
      <c r="B59" s="171"/>
      <c r="C59" s="171"/>
      <c r="E59" s="171"/>
      <c r="F59" s="171"/>
      <c r="G59" s="171"/>
      <c r="H59" s="171"/>
      <c r="I59" s="171"/>
      <c r="J59" s="1" t="s">
        <v>290</v>
      </c>
      <c r="K59" s="59"/>
      <c r="L59" s="59"/>
      <c r="M59" s="53">
        <f>M58-M57</f>
        <v>558.85867189994315</v>
      </c>
    </row>
    <row r="60" spans="2:13" x14ac:dyDescent="0.3">
      <c r="B60" s="171"/>
      <c r="C60" s="171"/>
      <c r="E60" s="171"/>
      <c r="F60" s="171"/>
      <c r="G60" s="171"/>
      <c r="H60" s="171"/>
      <c r="I60" s="171"/>
      <c r="J60" s="171"/>
      <c r="K60" s="295"/>
      <c r="L60" s="171"/>
      <c r="M60" s="171"/>
    </row>
    <row r="61" spans="2:13" x14ac:dyDescent="0.3">
      <c r="B61" s="171"/>
      <c r="C61" s="171"/>
      <c r="E61" s="171"/>
      <c r="F61" s="171"/>
      <c r="G61" s="171"/>
      <c r="H61" s="171"/>
      <c r="I61" s="171"/>
      <c r="J61" s="171"/>
      <c r="K61" s="295"/>
      <c r="L61" s="171"/>
      <c r="M61" s="171"/>
    </row>
    <row r="62" spans="2:13" x14ac:dyDescent="0.3">
      <c r="B62" s="171"/>
      <c r="C62" s="171"/>
      <c r="E62" s="171"/>
      <c r="F62" s="171"/>
      <c r="G62" s="171"/>
      <c r="H62" s="171"/>
      <c r="I62" s="171"/>
      <c r="J62" s="171"/>
      <c r="K62" s="295"/>
      <c r="L62" s="171"/>
      <c r="M62" s="171"/>
    </row>
    <row r="63" spans="2:13" x14ac:dyDescent="0.3">
      <c r="B63" s="171"/>
      <c r="C63" s="171"/>
      <c r="E63" s="171"/>
      <c r="F63" s="171"/>
      <c r="G63" s="171"/>
      <c r="H63" s="171"/>
      <c r="I63" s="171"/>
      <c r="J63" s="171"/>
      <c r="K63" s="295"/>
      <c r="L63" s="171"/>
      <c r="M63" s="171"/>
    </row>
    <row r="64" spans="2:13" x14ac:dyDescent="0.3">
      <c r="B64" s="171"/>
      <c r="C64" s="171"/>
      <c r="E64" s="171"/>
      <c r="F64" s="171"/>
      <c r="G64" s="171"/>
      <c r="H64" s="171"/>
      <c r="I64" s="171"/>
      <c r="J64" s="171"/>
      <c r="K64" s="295"/>
      <c r="L64" s="171"/>
      <c r="M64" s="171"/>
    </row>
    <row r="65" spans="2:13" x14ac:dyDescent="0.3">
      <c r="B65" s="171"/>
      <c r="C65" s="171"/>
      <c r="E65" s="171"/>
      <c r="F65" s="171"/>
      <c r="G65" s="171"/>
      <c r="H65" s="171"/>
      <c r="I65" s="171"/>
      <c r="J65" s="171"/>
      <c r="K65" s="295"/>
      <c r="L65" s="171"/>
      <c r="M65" s="171"/>
    </row>
    <row r="66" spans="2:13" x14ac:dyDescent="0.3">
      <c r="B66" s="171"/>
      <c r="C66" s="171"/>
      <c r="E66" s="171"/>
      <c r="F66" s="171"/>
      <c r="G66" s="171"/>
      <c r="H66" s="171"/>
      <c r="I66" s="171"/>
      <c r="J66" s="171"/>
      <c r="K66" s="295"/>
      <c r="L66" s="171"/>
      <c r="M66" s="171"/>
    </row>
    <row r="67" spans="2:13" x14ac:dyDescent="0.3">
      <c r="B67" s="171"/>
      <c r="C67" s="171"/>
      <c r="E67" s="171"/>
      <c r="F67" s="171"/>
      <c r="G67" s="171"/>
      <c r="H67" s="171"/>
      <c r="I67" s="171"/>
      <c r="J67" s="171"/>
      <c r="K67" s="295"/>
      <c r="L67" s="171"/>
      <c r="M67" s="171"/>
    </row>
    <row r="68" spans="2:13" x14ac:dyDescent="0.3">
      <c r="B68" s="171"/>
      <c r="C68" s="171"/>
      <c r="E68" s="171"/>
      <c r="F68" s="171"/>
      <c r="G68" s="171"/>
      <c r="H68" s="171"/>
      <c r="I68" s="171"/>
      <c r="J68" s="171"/>
      <c r="K68" s="295"/>
      <c r="L68" s="171"/>
      <c r="M68" s="171"/>
    </row>
    <row r="69" spans="2:13" x14ac:dyDescent="0.3">
      <c r="B69" s="171"/>
      <c r="C69" s="171"/>
      <c r="E69" s="171"/>
      <c r="F69" s="171"/>
      <c r="G69" s="171"/>
      <c r="H69" s="171"/>
      <c r="I69" s="171"/>
      <c r="J69" s="171"/>
      <c r="K69" s="295"/>
      <c r="L69" s="171"/>
      <c r="M69" s="171"/>
    </row>
    <row r="70" spans="2:13" x14ac:dyDescent="0.3">
      <c r="B70" s="171"/>
      <c r="C70" s="171"/>
      <c r="E70" s="171"/>
      <c r="F70" s="171"/>
      <c r="G70" s="171"/>
      <c r="H70" s="171"/>
      <c r="I70" s="171"/>
      <c r="J70" s="171"/>
      <c r="K70" s="295"/>
      <c r="L70" s="171"/>
      <c r="M70" s="171"/>
    </row>
    <row r="71" spans="2:13" x14ac:dyDescent="0.3">
      <c r="B71" s="171"/>
      <c r="C71" s="171"/>
      <c r="E71" s="171"/>
      <c r="F71" s="171"/>
      <c r="G71" s="171"/>
      <c r="H71" s="171"/>
      <c r="I71" s="171"/>
      <c r="J71" s="171"/>
      <c r="K71" s="295"/>
      <c r="L71" s="171"/>
      <c r="M71" s="171"/>
    </row>
    <row r="72" spans="2:13" x14ac:dyDescent="0.3">
      <c r="B72" s="171"/>
      <c r="C72" s="171"/>
      <c r="E72" s="171"/>
      <c r="F72" s="171"/>
      <c r="G72" s="171"/>
      <c r="H72" s="171"/>
      <c r="I72" s="171"/>
      <c r="J72" s="171"/>
      <c r="K72" s="295"/>
      <c r="L72" s="171"/>
      <c r="M72" s="171"/>
    </row>
    <row r="73" spans="2:13" x14ac:dyDescent="0.3">
      <c r="B73" s="171"/>
      <c r="C73" s="171"/>
      <c r="E73" s="171"/>
      <c r="F73" s="171"/>
      <c r="G73" s="171"/>
      <c r="H73" s="171"/>
      <c r="I73" s="171"/>
      <c r="J73" s="171"/>
      <c r="K73" s="295"/>
      <c r="L73" s="171"/>
      <c r="M73" s="171"/>
    </row>
    <row r="74" spans="2:13" x14ac:dyDescent="0.3">
      <c r="B74" s="171"/>
      <c r="C74" s="171"/>
      <c r="E74" s="171"/>
      <c r="F74" s="171"/>
      <c r="G74" s="171"/>
      <c r="H74" s="171"/>
      <c r="I74" s="171"/>
      <c r="J74" s="171"/>
      <c r="K74" s="295"/>
      <c r="L74" s="171"/>
      <c r="M74" s="171"/>
    </row>
    <row r="75" spans="2:13" x14ac:dyDescent="0.3">
      <c r="B75" s="171"/>
      <c r="C75" s="171"/>
      <c r="E75" s="171"/>
      <c r="F75" s="171"/>
      <c r="G75" s="171"/>
      <c r="H75" s="171"/>
      <c r="I75" s="171"/>
      <c r="J75" s="171"/>
      <c r="K75" s="295"/>
      <c r="L75" s="171"/>
      <c r="M75" s="171"/>
    </row>
    <row r="76" spans="2:13" x14ac:dyDescent="0.3">
      <c r="B76" s="171"/>
      <c r="C76" s="171"/>
      <c r="E76" s="171"/>
      <c r="F76" s="171"/>
      <c r="G76" s="171"/>
      <c r="H76" s="171"/>
      <c r="I76" s="171"/>
      <c r="J76" s="171"/>
      <c r="K76" s="295"/>
      <c r="L76" s="171"/>
      <c r="M76" s="171"/>
    </row>
    <row r="77" spans="2:13" x14ac:dyDescent="0.3">
      <c r="B77" s="171"/>
      <c r="C77" s="171"/>
      <c r="E77" s="171"/>
      <c r="F77" s="171"/>
      <c r="G77" s="171"/>
      <c r="H77" s="171"/>
      <c r="I77" s="171"/>
      <c r="J77" s="171"/>
      <c r="K77" s="295"/>
      <c r="L77" s="171"/>
      <c r="M77" s="171"/>
    </row>
    <row r="78" spans="2:13" x14ac:dyDescent="0.3">
      <c r="B78" s="171"/>
      <c r="C78" s="171"/>
      <c r="E78" s="171"/>
      <c r="F78" s="171"/>
      <c r="G78" s="171"/>
      <c r="H78" s="171"/>
      <c r="I78" s="171"/>
      <c r="J78" s="171"/>
      <c r="K78" s="295"/>
      <c r="L78" s="171"/>
      <c r="M78" s="171"/>
    </row>
    <row r="79" spans="2:13" x14ac:dyDescent="0.3">
      <c r="B79" s="171"/>
      <c r="C79" s="171"/>
      <c r="E79" s="171"/>
      <c r="F79" s="171"/>
      <c r="G79" s="171"/>
      <c r="H79" s="171"/>
      <c r="I79" s="171"/>
      <c r="J79" s="171"/>
      <c r="K79" s="295"/>
      <c r="L79" s="171"/>
      <c r="M79" s="171"/>
    </row>
    <row r="80" spans="2:13" x14ac:dyDescent="0.3">
      <c r="B80" s="171"/>
      <c r="C80" s="171"/>
      <c r="E80" s="171"/>
      <c r="F80" s="171"/>
      <c r="G80" s="171"/>
      <c r="H80" s="171"/>
      <c r="I80" s="171"/>
      <c r="J80" s="171"/>
      <c r="K80" s="295"/>
      <c r="L80" s="171"/>
      <c r="M80" s="171"/>
    </row>
    <row r="81" spans="2:13" x14ac:dyDescent="0.3">
      <c r="B81" s="171"/>
      <c r="C81" s="171"/>
      <c r="E81" s="171"/>
      <c r="F81" s="171"/>
      <c r="G81" s="171"/>
      <c r="H81" s="171"/>
      <c r="I81" s="171"/>
      <c r="J81" s="171"/>
      <c r="K81" s="295"/>
      <c r="L81" s="171"/>
      <c r="M81" s="171"/>
    </row>
    <row r="82" spans="2:13" x14ac:dyDescent="0.3">
      <c r="B82" s="171"/>
      <c r="C82" s="171"/>
      <c r="E82" s="171"/>
      <c r="F82" s="171"/>
      <c r="G82" s="171"/>
      <c r="H82" s="171"/>
      <c r="I82" s="171"/>
      <c r="J82" s="171"/>
      <c r="K82" s="295"/>
      <c r="L82" s="171"/>
      <c r="M82" s="171"/>
    </row>
    <row r="83" spans="2:13" x14ac:dyDescent="0.3">
      <c r="B83" s="171"/>
      <c r="C83" s="171"/>
      <c r="E83" s="171"/>
      <c r="F83" s="171"/>
      <c r="G83" s="171"/>
      <c r="H83" s="171"/>
      <c r="I83" s="171"/>
      <c r="J83" s="171"/>
      <c r="K83" s="295"/>
      <c r="L83" s="171"/>
      <c r="M83" s="171"/>
    </row>
    <row r="84" spans="2:13" x14ac:dyDescent="0.3">
      <c r="B84" s="171"/>
      <c r="C84" s="171"/>
      <c r="E84" s="171"/>
      <c r="F84" s="171"/>
      <c r="G84" s="171"/>
      <c r="H84" s="171"/>
      <c r="I84" s="171"/>
      <c r="J84" s="171"/>
      <c r="K84" s="295"/>
      <c r="L84" s="171"/>
      <c r="M84" s="171"/>
    </row>
    <row r="85" spans="2:13" x14ac:dyDescent="0.3">
      <c r="B85" s="171"/>
      <c r="C85" s="171"/>
      <c r="E85" s="171"/>
      <c r="F85" s="171"/>
      <c r="G85" s="171"/>
      <c r="H85" s="171"/>
      <c r="I85" s="171"/>
      <c r="J85" s="171"/>
      <c r="K85" s="295"/>
      <c r="L85" s="171"/>
      <c r="M85" s="171"/>
    </row>
    <row r="86" spans="2:13" x14ac:dyDescent="0.3">
      <c r="B86" s="171"/>
      <c r="C86" s="171"/>
      <c r="E86" s="171"/>
      <c r="F86" s="171"/>
      <c r="G86" s="171"/>
      <c r="H86" s="171"/>
      <c r="I86" s="171"/>
      <c r="J86" s="171"/>
      <c r="K86" s="295"/>
      <c r="L86" s="171"/>
      <c r="M86" s="171"/>
    </row>
    <row r="87" spans="2:13" x14ac:dyDescent="0.3">
      <c r="B87" s="171"/>
      <c r="C87" s="171"/>
      <c r="E87" s="171"/>
      <c r="F87" s="171"/>
      <c r="G87" s="171"/>
      <c r="H87" s="171"/>
      <c r="I87" s="171"/>
      <c r="J87" s="171"/>
      <c r="K87" s="295"/>
      <c r="L87" s="171"/>
      <c r="M87" s="171"/>
    </row>
    <row r="88" spans="2:13" x14ac:dyDescent="0.3">
      <c r="B88" s="171"/>
      <c r="C88" s="171"/>
      <c r="E88" s="171"/>
      <c r="F88" s="171"/>
      <c r="G88" s="171"/>
      <c r="H88" s="171"/>
      <c r="I88" s="171"/>
      <c r="J88" s="171"/>
      <c r="K88" s="295"/>
      <c r="L88" s="171"/>
      <c r="M88" s="171"/>
    </row>
    <row r="89" spans="2:13" x14ac:dyDescent="0.3">
      <c r="B89" s="171"/>
      <c r="C89" s="171"/>
      <c r="E89" s="171"/>
      <c r="F89" s="171"/>
      <c r="G89" s="171"/>
      <c r="H89" s="171"/>
      <c r="I89" s="171"/>
      <c r="J89" s="171"/>
      <c r="K89" s="295"/>
      <c r="L89" s="171"/>
      <c r="M89" s="171"/>
    </row>
    <row r="90" spans="2:13" x14ac:dyDescent="0.3">
      <c r="B90" s="171"/>
      <c r="C90" s="171"/>
      <c r="E90" s="171"/>
      <c r="F90" s="171"/>
      <c r="G90" s="171"/>
      <c r="H90" s="171"/>
      <c r="I90" s="171"/>
      <c r="J90" s="171"/>
      <c r="K90" s="295"/>
      <c r="L90" s="171"/>
      <c r="M90" s="171"/>
    </row>
    <row r="91" spans="2:13" x14ac:dyDescent="0.3">
      <c r="B91" s="171"/>
      <c r="C91" s="171"/>
      <c r="E91" s="171"/>
      <c r="F91" s="171"/>
      <c r="G91" s="171"/>
      <c r="H91" s="171"/>
      <c r="I91" s="171"/>
      <c r="J91" s="171"/>
      <c r="K91" s="295"/>
      <c r="L91" s="171"/>
      <c r="M91" s="171"/>
    </row>
    <row r="92" spans="2:13" x14ac:dyDescent="0.3">
      <c r="B92" s="171"/>
      <c r="C92" s="171"/>
      <c r="E92" s="171"/>
      <c r="F92" s="171"/>
      <c r="G92" s="171"/>
      <c r="H92" s="171"/>
      <c r="I92" s="171"/>
      <c r="J92" s="171"/>
      <c r="K92" s="295"/>
      <c r="L92" s="171"/>
      <c r="M92" s="171"/>
    </row>
    <row r="93" spans="2:13" x14ac:dyDescent="0.3">
      <c r="B93" s="171"/>
      <c r="C93" s="171"/>
      <c r="E93" s="171"/>
      <c r="F93" s="171"/>
      <c r="G93" s="171"/>
      <c r="H93" s="171"/>
      <c r="I93" s="171"/>
      <c r="J93" s="171"/>
      <c r="K93" s="295"/>
      <c r="L93" s="171"/>
      <c r="M93" s="171"/>
    </row>
    <row r="94" spans="2:13" x14ac:dyDescent="0.3">
      <c r="B94" s="171"/>
      <c r="C94" s="171"/>
      <c r="E94" s="171"/>
      <c r="F94" s="171"/>
      <c r="G94" s="171"/>
      <c r="H94" s="171"/>
      <c r="I94" s="171"/>
      <c r="J94" s="171"/>
      <c r="K94" s="295"/>
      <c r="L94" s="171"/>
      <c r="M94" s="171"/>
    </row>
    <row r="95" spans="2:13" x14ac:dyDescent="0.3">
      <c r="B95" s="171"/>
      <c r="C95" s="171"/>
      <c r="E95" s="171"/>
      <c r="F95" s="171"/>
      <c r="G95" s="171"/>
      <c r="H95" s="171"/>
      <c r="I95" s="171"/>
      <c r="J95" s="171"/>
      <c r="K95" s="295"/>
      <c r="L95" s="171"/>
      <c r="M95" s="171"/>
    </row>
    <row r="96" spans="2:13" x14ac:dyDescent="0.3">
      <c r="B96" s="171"/>
      <c r="C96" s="171"/>
      <c r="E96" s="171"/>
      <c r="F96" s="171"/>
      <c r="G96" s="171"/>
      <c r="H96" s="171"/>
      <c r="I96" s="171"/>
      <c r="J96" s="171"/>
      <c r="K96" s="295"/>
      <c r="L96" s="171"/>
      <c r="M96" s="171"/>
    </row>
    <row r="97" spans="2:13" x14ac:dyDescent="0.3">
      <c r="B97" s="171"/>
      <c r="C97" s="171"/>
      <c r="E97" s="171"/>
      <c r="F97" s="171"/>
      <c r="G97" s="171"/>
      <c r="H97" s="171"/>
      <c r="I97" s="171"/>
      <c r="J97" s="171"/>
      <c r="K97" s="295"/>
      <c r="L97" s="171"/>
      <c r="M97" s="171"/>
    </row>
    <row r="98" spans="2:13" x14ac:dyDescent="0.3">
      <c r="B98" s="171"/>
      <c r="C98" s="171"/>
      <c r="E98" s="171"/>
      <c r="F98" s="171"/>
      <c r="G98" s="171"/>
      <c r="H98" s="171"/>
      <c r="I98" s="171"/>
      <c r="J98" s="171"/>
      <c r="K98" s="295"/>
      <c r="L98" s="171"/>
      <c r="M98" s="171"/>
    </row>
    <row r="99" spans="2:13" x14ac:dyDescent="0.3">
      <c r="B99" s="171"/>
      <c r="C99" s="171"/>
      <c r="E99" s="171"/>
      <c r="F99" s="171"/>
      <c r="G99" s="171"/>
      <c r="H99" s="171"/>
      <c r="I99" s="171"/>
      <c r="J99" s="171"/>
      <c r="K99" s="295"/>
      <c r="L99" s="171"/>
      <c r="M99" s="171"/>
    </row>
    <row r="100" spans="2:13" x14ac:dyDescent="0.3">
      <c r="B100" s="171"/>
      <c r="C100" s="171"/>
      <c r="E100" s="171"/>
      <c r="F100" s="171"/>
      <c r="G100" s="171"/>
      <c r="H100" s="171"/>
      <c r="I100" s="171"/>
      <c r="J100" s="171"/>
      <c r="K100" s="295"/>
      <c r="L100" s="171"/>
      <c r="M100" s="171"/>
    </row>
    <row r="101" spans="2:13" x14ac:dyDescent="0.3">
      <c r="B101" s="171"/>
      <c r="C101" s="171"/>
      <c r="E101" s="171"/>
      <c r="F101" s="171"/>
      <c r="G101" s="171"/>
      <c r="H101" s="171"/>
      <c r="I101" s="171"/>
      <c r="J101" s="171"/>
      <c r="K101" s="295"/>
      <c r="L101" s="171"/>
      <c r="M101" s="171"/>
    </row>
    <row r="102" spans="2:13" x14ac:dyDescent="0.3">
      <c r="B102" s="171"/>
      <c r="C102" s="171"/>
      <c r="E102" s="171"/>
      <c r="F102" s="171"/>
      <c r="G102" s="171"/>
      <c r="H102" s="171"/>
      <c r="I102" s="171"/>
      <c r="J102" s="171"/>
      <c r="K102" s="295"/>
      <c r="L102" s="171"/>
      <c r="M102" s="171"/>
    </row>
    <row r="103" spans="2:13" x14ac:dyDescent="0.3">
      <c r="B103" s="171"/>
      <c r="C103" s="171"/>
      <c r="E103" s="171"/>
      <c r="F103" s="171"/>
      <c r="G103" s="171"/>
      <c r="H103" s="171"/>
      <c r="I103" s="171"/>
      <c r="J103" s="171"/>
      <c r="K103" s="295"/>
      <c r="L103" s="171"/>
      <c r="M103" s="171"/>
    </row>
    <row r="104" spans="2:13" x14ac:dyDescent="0.3">
      <c r="B104" s="171"/>
      <c r="C104" s="171"/>
      <c r="E104" s="171"/>
      <c r="F104" s="171"/>
      <c r="G104" s="171"/>
      <c r="H104" s="171"/>
      <c r="I104" s="171"/>
      <c r="J104" s="171"/>
      <c r="K104" s="295"/>
      <c r="L104" s="171"/>
      <c r="M104" s="171"/>
    </row>
    <row r="105" spans="2:13" x14ac:dyDescent="0.3">
      <c r="B105" s="171"/>
      <c r="C105" s="171"/>
      <c r="E105" s="171"/>
      <c r="F105" s="171"/>
      <c r="G105" s="171"/>
      <c r="H105" s="171"/>
      <c r="I105" s="171"/>
      <c r="J105" s="171"/>
      <c r="K105" s="295"/>
      <c r="L105" s="171"/>
      <c r="M105" s="171"/>
    </row>
    <row r="106" spans="2:13" x14ac:dyDescent="0.3">
      <c r="B106" s="171"/>
      <c r="C106" s="171"/>
      <c r="E106" s="171"/>
      <c r="F106" s="171"/>
      <c r="G106" s="171"/>
      <c r="H106" s="171"/>
      <c r="I106" s="171"/>
      <c r="J106" s="171"/>
      <c r="K106" s="295"/>
      <c r="L106" s="171"/>
      <c r="M106" s="171"/>
    </row>
    <row r="107" spans="2:13" x14ac:dyDescent="0.3">
      <c r="B107" s="171"/>
      <c r="C107" s="171"/>
      <c r="E107" s="171"/>
      <c r="F107" s="171"/>
      <c r="G107" s="171"/>
      <c r="H107" s="171"/>
      <c r="I107" s="171"/>
      <c r="J107" s="171"/>
      <c r="K107" s="295"/>
      <c r="L107" s="171"/>
      <c r="M107" s="171"/>
    </row>
    <row r="108" spans="2:13" x14ac:dyDescent="0.3">
      <c r="B108" s="171"/>
      <c r="C108" s="171"/>
      <c r="E108" s="171"/>
      <c r="F108" s="171"/>
      <c r="G108" s="171"/>
      <c r="H108" s="171"/>
      <c r="I108" s="171"/>
      <c r="J108" s="171"/>
      <c r="K108" s="295"/>
      <c r="L108" s="171"/>
      <c r="M108" s="171"/>
    </row>
    <row r="109" spans="2:13" x14ac:dyDescent="0.3">
      <c r="B109" s="171"/>
      <c r="C109" s="171"/>
      <c r="E109" s="171"/>
      <c r="F109" s="171"/>
      <c r="G109" s="171"/>
      <c r="H109" s="171"/>
      <c r="I109" s="171"/>
      <c r="J109" s="171"/>
      <c r="K109" s="295"/>
      <c r="L109" s="171"/>
      <c r="M109" s="171"/>
    </row>
    <row r="110" spans="2:13" x14ac:dyDescent="0.3">
      <c r="B110" s="171"/>
      <c r="C110" s="171"/>
      <c r="E110" s="171"/>
      <c r="F110" s="171"/>
      <c r="G110" s="171"/>
      <c r="H110" s="171"/>
      <c r="I110" s="171"/>
      <c r="J110" s="171"/>
      <c r="K110" s="295"/>
      <c r="L110" s="171"/>
      <c r="M110" s="171"/>
    </row>
    <row r="111" spans="2:13" x14ac:dyDescent="0.3">
      <c r="B111" s="171"/>
      <c r="C111" s="171"/>
      <c r="E111" s="171"/>
      <c r="F111" s="171"/>
      <c r="G111" s="171"/>
      <c r="H111" s="171"/>
      <c r="I111" s="171"/>
      <c r="J111" s="171"/>
      <c r="K111" s="295"/>
      <c r="L111" s="171"/>
      <c r="M111" s="171"/>
    </row>
    <row r="112" spans="2:13" x14ac:dyDescent="0.3">
      <c r="B112" s="171"/>
      <c r="C112" s="171"/>
      <c r="E112" s="171"/>
      <c r="F112" s="171"/>
      <c r="G112" s="171"/>
      <c r="H112" s="171"/>
      <c r="I112" s="171"/>
      <c r="J112" s="171"/>
      <c r="K112" s="295"/>
      <c r="L112" s="171"/>
      <c r="M112" s="171"/>
    </row>
    <row r="113" spans="2:13" x14ac:dyDescent="0.3">
      <c r="B113" s="171"/>
      <c r="C113" s="171"/>
      <c r="E113" s="171"/>
      <c r="F113" s="171"/>
      <c r="G113" s="171"/>
      <c r="H113" s="171"/>
      <c r="I113" s="171"/>
      <c r="J113" s="171"/>
      <c r="K113" s="295"/>
      <c r="L113" s="171"/>
      <c r="M113" s="171"/>
    </row>
    <row r="114" spans="2:13" x14ac:dyDescent="0.3">
      <c r="B114" s="171"/>
      <c r="C114" s="171"/>
      <c r="E114" s="171"/>
      <c r="F114" s="171"/>
      <c r="G114" s="171"/>
      <c r="H114" s="171"/>
      <c r="I114" s="171"/>
      <c r="J114" s="171"/>
      <c r="K114" s="295"/>
      <c r="L114" s="171"/>
      <c r="M114" s="171"/>
    </row>
    <row r="115" spans="2:13" x14ac:dyDescent="0.3">
      <c r="B115" s="171"/>
      <c r="C115" s="171"/>
      <c r="E115" s="171"/>
      <c r="F115" s="171"/>
      <c r="G115" s="171"/>
      <c r="H115" s="171"/>
      <c r="I115" s="171"/>
      <c r="J115" s="171"/>
      <c r="K115" s="295"/>
      <c r="L115" s="171"/>
      <c r="M115" s="171"/>
    </row>
    <row r="116" spans="2:13" x14ac:dyDescent="0.3">
      <c r="B116" s="171"/>
      <c r="C116" s="171"/>
      <c r="E116" s="171"/>
      <c r="F116" s="171"/>
      <c r="G116" s="171"/>
      <c r="H116" s="171"/>
      <c r="I116" s="171"/>
      <c r="J116" s="171"/>
      <c r="K116" s="295"/>
      <c r="L116" s="171"/>
      <c r="M116" s="171"/>
    </row>
    <row r="117" spans="2:13" x14ac:dyDescent="0.3">
      <c r="B117" s="171"/>
      <c r="C117" s="171"/>
      <c r="E117" s="171"/>
      <c r="F117" s="171"/>
      <c r="G117" s="171"/>
      <c r="H117" s="171"/>
      <c r="I117" s="171"/>
      <c r="J117" s="171"/>
      <c r="K117" s="295"/>
      <c r="L117" s="171"/>
      <c r="M117" s="171"/>
    </row>
    <row r="118" spans="2:13" x14ac:dyDescent="0.3">
      <c r="B118" s="171"/>
      <c r="C118" s="171"/>
      <c r="E118" s="171"/>
      <c r="F118" s="171"/>
      <c r="G118" s="171"/>
      <c r="H118" s="171"/>
      <c r="I118" s="171"/>
      <c r="J118" s="171"/>
      <c r="K118" s="295"/>
      <c r="L118" s="171"/>
      <c r="M118" s="171"/>
    </row>
    <row r="119" spans="2:13" x14ac:dyDescent="0.3">
      <c r="B119" s="171"/>
      <c r="C119" s="171"/>
      <c r="E119" s="171"/>
      <c r="F119" s="171"/>
      <c r="G119" s="171"/>
      <c r="H119" s="171"/>
      <c r="I119" s="171"/>
      <c r="J119" s="171"/>
      <c r="K119" s="295"/>
      <c r="L119" s="171"/>
      <c r="M119" s="171"/>
    </row>
    <row r="120" spans="2:13" x14ac:dyDescent="0.3">
      <c r="B120" s="171"/>
      <c r="C120" s="171"/>
      <c r="E120" s="171"/>
      <c r="F120" s="171"/>
      <c r="G120" s="171"/>
      <c r="H120" s="171"/>
      <c r="I120" s="171"/>
      <c r="J120" s="171"/>
      <c r="K120" s="295"/>
      <c r="L120" s="171"/>
      <c r="M120" s="171"/>
    </row>
    <row r="121" spans="2:13" x14ac:dyDescent="0.3">
      <c r="B121" s="171"/>
      <c r="C121" s="171"/>
      <c r="E121" s="171"/>
      <c r="F121" s="171"/>
      <c r="G121" s="171"/>
      <c r="H121" s="171"/>
      <c r="I121" s="171"/>
      <c r="J121" s="171"/>
      <c r="K121" s="295"/>
      <c r="L121" s="171"/>
      <c r="M121" s="171"/>
    </row>
    <row r="122" spans="2:13" x14ac:dyDescent="0.3">
      <c r="B122" s="171"/>
      <c r="C122" s="171"/>
      <c r="E122" s="171"/>
      <c r="F122" s="171"/>
      <c r="G122" s="171"/>
      <c r="H122" s="171"/>
      <c r="I122" s="171"/>
      <c r="J122" s="171"/>
      <c r="K122" s="295"/>
      <c r="L122" s="171"/>
      <c r="M122" s="171"/>
    </row>
    <row r="123" spans="2:13" x14ac:dyDescent="0.3">
      <c r="B123" s="171"/>
      <c r="C123" s="171"/>
      <c r="E123" s="171"/>
      <c r="F123" s="171"/>
      <c r="G123" s="171"/>
      <c r="H123" s="171"/>
      <c r="I123" s="171"/>
      <c r="J123" s="171"/>
      <c r="K123" s="295"/>
      <c r="L123" s="171"/>
      <c r="M123" s="171"/>
    </row>
    <row r="124" spans="2:13" x14ac:dyDescent="0.3">
      <c r="B124" s="171"/>
      <c r="C124" s="171"/>
      <c r="E124" s="171"/>
      <c r="F124" s="171"/>
      <c r="G124" s="171"/>
      <c r="H124" s="171"/>
      <c r="I124" s="171"/>
      <c r="J124" s="171"/>
      <c r="K124" s="295"/>
      <c r="L124" s="171"/>
      <c r="M124" s="171"/>
    </row>
    <row r="125" spans="2:13" x14ac:dyDescent="0.3">
      <c r="B125" s="171"/>
      <c r="C125" s="171"/>
      <c r="E125" s="171"/>
      <c r="F125" s="171"/>
      <c r="G125" s="171"/>
      <c r="H125" s="171"/>
      <c r="I125" s="171"/>
      <c r="J125" s="171"/>
      <c r="K125" s="295"/>
      <c r="L125" s="171"/>
      <c r="M125" s="171"/>
    </row>
    <row r="126" spans="2:13" x14ac:dyDescent="0.3">
      <c r="B126" s="171"/>
      <c r="C126" s="171"/>
      <c r="E126" s="171"/>
      <c r="F126" s="171"/>
      <c r="G126" s="171"/>
      <c r="H126" s="171"/>
      <c r="I126" s="171"/>
      <c r="J126" s="171"/>
      <c r="K126" s="295"/>
      <c r="L126" s="171"/>
      <c r="M126" s="171"/>
    </row>
    <row r="127" spans="2:13" x14ac:dyDescent="0.3">
      <c r="B127" s="171"/>
      <c r="C127" s="171"/>
      <c r="E127" s="171"/>
      <c r="F127" s="171"/>
      <c r="G127" s="171"/>
      <c r="H127" s="171"/>
      <c r="I127" s="171"/>
      <c r="J127" s="171"/>
      <c r="K127" s="295"/>
      <c r="L127" s="171"/>
      <c r="M127" s="171"/>
    </row>
    <row r="128" spans="2:13" x14ac:dyDescent="0.3">
      <c r="B128" s="171"/>
      <c r="C128" s="171"/>
      <c r="E128" s="171"/>
      <c r="F128" s="171"/>
      <c r="G128" s="171"/>
      <c r="H128" s="171"/>
      <c r="I128" s="171"/>
      <c r="J128" s="171"/>
      <c r="K128" s="295"/>
      <c r="L128" s="171"/>
      <c r="M128" s="171"/>
    </row>
    <row r="129" spans="2:12" x14ac:dyDescent="0.3">
      <c r="B129" s="171"/>
      <c r="C129" s="171"/>
      <c r="E129" s="171"/>
      <c r="F129" s="171"/>
      <c r="G129" s="171"/>
      <c r="H129" s="171"/>
      <c r="I129" s="171"/>
      <c r="J129" s="171"/>
      <c r="K129" s="295"/>
      <c r="L129" s="171"/>
    </row>
    <row r="130" spans="2:12" x14ac:dyDescent="0.3">
      <c r="B130" s="171"/>
      <c r="C130" s="171"/>
      <c r="E130" s="171"/>
      <c r="F130" s="171"/>
      <c r="G130" s="171"/>
      <c r="H130" s="171"/>
      <c r="I130" s="171"/>
      <c r="J130" s="171"/>
      <c r="K130" s="295"/>
      <c r="L130" s="171"/>
    </row>
    <row r="131" spans="2:12" x14ac:dyDescent="0.3">
      <c r="B131" s="171"/>
      <c r="C131" s="171"/>
      <c r="E131" s="171"/>
      <c r="F131" s="171"/>
      <c r="G131" s="171"/>
      <c r="H131" s="171"/>
      <c r="I131" s="171"/>
      <c r="J131" s="171"/>
      <c r="K131" s="295"/>
      <c r="L131" s="171"/>
    </row>
    <row r="132" spans="2:12" x14ac:dyDescent="0.3">
      <c r="B132" s="171"/>
      <c r="C132" s="171"/>
      <c r="E132" s="171"/>
      <c r="F132" s="171"/>
      <c r="G132" s="171"/>
      <c r="H132" s="171"/>
      <c r="I132" s="171"/>
      <c r="J132" s="171"/>
      <c r="K132" s="295"/>
      <c r="L132" s="171"/>
    </row>
    <row r="133" spans="2:12" x14ac:dyDescent="0.3">
      <c r="B133" s="171"/>
      <c r="C133" s="171"/>
      <c r="E133" s="171"/>
      <c r="F133" s="171"/>
      <c r="G133" s="171"/>
      <c r="H133" s="171"/>
      <c r="I133" s="171"/>
      <c r="J133" s="171"/>
      <c r="K133" s="295"/>
      <c r="L133" s="171"/>
    </row>
    <row r="134" spans="2:12" x14ac:dyDescent="0.3">
      <c r="B134" s="171"/>
      <c r="C134" s="171"/>
      <c r="E134" s="171"/>
      <c r="F134" s="171"/>
      <c r="G134" s="171"/>
      <c r="H134" s="171"/>
      <c r="I134" s="171"/>
      <c r="J134" s="171"/>
      <c r="K134" s="295"/>
      <c r="L134" s="171"/>
    </row>
    <row r="135" spans="2:12" x14ac:dyDescent="0.3">
      <c r="B135" s="171"/>
      <c r="C135" s="171"/>
      <c r="E135" s="171"/>
      <c r="F135" s="171"/>
      <c r="G135" s="171"/>
      <c r="H135" s="171"/>
      <c r="I135" s="171"/>
      <c r="J135" s="171"/>
      <c r="K135" s="295"/>
      <c r="L135" s="171"/>
    </row>
    <row r="136" spans="2:12" x14ac:dyDescent="0.3">
      <c r="B136" s="171"/>
      <c r="C136" s="171"/>
      <c r="E136" s="171"/>
      <c r="F136" s="171"/>
      <c r="G136" s="171"/>
      <c r="H136" s="171"/>
      <c r="I136" s="171"/>
      <c r="J136" s="171"/>
      <c r="K136" s="295"/>
      <c r="L136" s="171"/>
    </row>
    <row r="137" spans="2:12" x14ac:dyDescent="0.3">
      <c r="B137" s="171"/>
      <c r="C137" s="171"/>
      <c r="E137" s="171"/>
      <c r="F137" s="171"/>
      <c r="G137" s="171"/>
      <c r="H137" s="171"/>
      <c r="I137" s="171"/>
      <c r="J137" s="171"/>
      <c r="K137" s="295"/>
      <c r="L137" s="171"/>
    </row>
    <row r="138" spans="2:12" x14ac:dyDescent="0.3">
      <c r="B138" s="171"/>
      <c r="C138" s="171"/>
      <c r="E138" s="171"/>
      <c r="F138" s="171"/>
      <c r="G138" s="171"/>
      <c r="H138" s="171"/>
      <c r="I138" s="171"/>
      <c r="J138" s="171"/>
      <c r="K138" s="295"/>
      <c r="L138" s="171"/>
    </row>
    <row r="139" spans="2:12" x14ac:dyDescent="0.3">
      <c r="B139" s="171"/>
      <c r="C139" s="171"/>
      <c r="E139" s="171"/>
      <c r="F139" s="171"/>
      <c r="G139" s="171"/>
      <c r="H139" s="171"/>
      <c r="I139" s="171"/>
      <c r="J139" s="171"/>
      <c r="K139" s="295"/>
      <c r="L139" s="171"/>
    </row>
    <row r="140" spans="2:12" x14ac:dyDescent="0.3">
      <c r="B140" s="171"/>
      <c r="C140" s="171"/>
      <c r="E140" s="171"/>
      <c r="F140" s="171"/>
      <c r="G140" s="171"/>
      <c r="H140" s="171"/>
      <c r="I140" s="171"/>
      <c r="J140" s="171"/>
      <c r="K140" s="295"/>
      <c r="L140" s="171"/>
    </row>
    <row r="141" spans="2:12" x14ac:dyDescent="0.3">
      <c r="B141" s="171"/>
      <c r="C141" s="171"/>
      <c r="E141" s="171"/>
      <c r="F141" s="171"/>
      <c r="G141" s="171"/>
      <c r="H141" s="171"/>
      <c r="I141" s="171"/>
      <c r="J141" s="171"/>
      <c r="K141" s="295"/>
      <c r="L141" s="171"/>
    </row>
    <row r="142" spans="2:12" x14ac:dyDescent="0.3">
      <c r="B142" s="171"/>
      <c r="C142" s="171"/>
      <c r="E142" s="171"/>
      <c r="F142" s="171"/>
      <c r="G142" s="171"/>
      <c r="H142" s="171"/>
      <c r="I142" s="171"/>
      <c r="J142" s="171"/>
      <c r="K142" s="295"/>
      <c r="L142" s="171"/>
    </row>
    <row r="143" spans="2:12" x14ac:dyDescent="0.3">
      <c r="B143" s="171"/>
      <c r="C143" s="171"/>
      <c r="E143" s="171"/>
      <c r="F143" s="171"/>
      <c r="G143" s="171"/>
      <c r="H143" s="171"/>
      <c r="I143" s="171"/>
      <c r="J143" s="171"/>
      <c r="K143" s="295"/>
      <c r="L143" s="171"/>
    </row>
    <row r="144" spans="2:12" x14ac:dyDescent="0.3">
      <c r="B144" s="171"/>
      <c r="C144" s="171"/>
      <c r="E144" s="171"/>
      <c r="F144" s="171"/>
      <c r="G144" s="171"/>
      <c r="H144" s="171"/>
      <c r="I144" s="171"/>
      <c r="J144" s="171"/>
      <c r="K144" s="295"/>
      <c r="L144" s="171"/>
    </row>
    <row r="145" spans="2:12" x14ac:dyDescent="0.3">
      <c r="B145" s="171"/>
      <c r="C145" s="171"/>
      <c r="E145" s="171"/>
      <c r="F145" s="171"/>
      <c r="G145" s="171"/>
      <c r="H145" s="171"/>
      <c r="I145" s="171"/>
      <c r="J145" s="171"/>
      <c r="K145" s="295"/>
      <c r="L145" s="171"/>
    </row>
    <row r="146" spans="2:12" x14ac:dyDescent="0.3">
      <c r="B146" s="171"/>
      <c r="C146" s="171"/>
      <c r="E146" s="171"/>
      <c r="F146" s="171"/>
      <c r="G146" s="171"/>
      <c r="H146" s="171"/>
      <c r="I146" s="171"/>
      <c r="J146" s="171"/>
      <c r="K146" s="295"/>
      <c r="L146" s="171"/>
    </row>
    <row r="147" spans="2:12" x14ac:dyDescent="0.3">
      <c r="B147" s="171"/>
      <c r="C147" s="171"/>
      <c r="E147" s="171"/>
      <c r="F147" s="171"/>
      <c r="G147" s="171"/>
      <c r="H147" s="171"/>
      <c r="I147" s="171"/>
      <c r="J147" s="171"/>
      <c r="K147" s="295"/>
      <c r="L147" s="171"/>
    </row>
    <row r="148" spans="2:12" x14ac:dyDescent="0.3">
      <c r="B148" s="171"/>
      <c r="C148" s="171"/>
      <c r="E148" s="171"/>
      <c r="F148" s="171"/>
      <c r="G148" s="171"/>
      <c r="H148" s="171"/>
      <c r="I148" s="171"/>
      <c r="J148" s="171"/>
      <c r="K148" s="295"/>
      <c r="L148" s="171"/>
    </row>
    <row r="149" spans="2:12" x14ac:dyDescent="0.3">
      <c r="B149" s="171"/>
      <c r="C149" s="171"/>
      <c r="E149" s="171"/>
      <c r="F149" s="171"/>
      <c r="G149" s="171"/>
      <c r="H149" s="171"/>
      <c r="I149" s="171"/>
      <c r="J149" s="171"/>
      <c r="K149" s="295"/>
      <c r="L149" s="171"/>
    </row>
    <row r="150" spans="2:12" x14ac:dyDescent="0.3">
      <c r="B150" s="171"/>
      <c r="C150" s="171"/>
      <c r="E150" s="171"/>
      <c r="F150" s="171"/>
      <c r="G150" s="171"/>
      <c r="H150" s="171"/>
      <c r="I150" s="171"/>
      <c r="J150" s="171"/>
      <c r="K150" s="295"/>
      <c r="L150" s="171"/>
    </row>
    <row r="151" spans="2:12" x14ac:dyDescent="0.3">
      <c r="B151" s="171"/>
      <c r="C151" s="171"/>
      <c r="E151" s="171"/>
      <c r="F151" s="171"/>
      <c r="G151" s="171"/>
      <c r="H151" s="171"/>
      <c r="I151" s="171"/>
      <c r="J151" s="171"/>
      <c r="K151" s="295"/>
      <c r="L151" s="171"/>
    </row>
    <row r="152" spans="2:12" x14ac:dyDescent="0.3">
      <c r="B152" s="171"/>
      <c r="C152" s="171"/>
      <c r="E152" s="171"/>
      <c r="F152" s="171"/>
      <c r="G152" s="171"/>
      <c r="H152" s="171"/>
      <c r="I152" s="171"/>
      <c r="J152" s="171"/>
      <c r="K152" s="295"/>
      <c r="L152" s="171"/>
    </row>
    <row r="153" spans="2:12" x14ac:dyDescent="0.3">
      <c r="B153" s="171"/>
      <c r="C153" s="171"/>
      <c r="E153" s="171"/>
      <c r="F153" s="171"/>
      <c r="G153" s="171"/>
      <c r="H153" s="171"/>
      <c r="I153" s="171"/>
      <c r="J153" s="171"/>
      <c r="K153" s="295"/>
      <c r="L153" s="171"/>
    </row>
    <row r="154" spans="2:12" x14ac:dyDescent="0.3">
      <c r="B154" s="171"/>
      <c r="C154" s="171"/>
      <c r="E154" s="171"/>
      <c r="F154" s="171"/>
      <c r="G154" s="171"/>
      <c r="H154" s="171"/>
      <c r="I154" s="171"/>
      <c r="J154" s="171"/>
      <c r="K154" s="295"/>
      <c r="L154" s="171"/>
    </row>
    <row r="155" spans="2:12" x14ac:dyDescent="0.3">
      <c r="B155" s="171"/>
      <c r="C155" s="171"/>
      <c r="E155" s="171"/>
      <c r="F155" s="171"/>
      <c r="G155" s="171"/>
      <c r="H155" s="171"/>
      <c r="I155" s="171"/>
      <c r="J155" s="171"/>
      <c r="K155" s="295"/>
      <c r="L155" s="171"/>
    </row>
    <row r="156" spans="2:12" x14ac:dyDescent="0.3">
      <c r="B156" s="171"/>
      <c r="C156" s="171"/>
      <c r="E156" s="171"/>
      <c r="F156" s="171"/>
      <c r="G156" s="171"/>
      <c r="H156" s="171"/>
      <c r="I156" s="171"/>
      <c r="J156" s="171"/>
      <c r="K156" s="295"/>
      <c r="L156" s="171"/>
    </row>
    <row r="157" spans="2:12" x14ac:dyDescent="0.3">
      <c r="B157" s="171"/>
      <c r="C157" s="171"/>
      <c r="E157" s="171"/>
      <c r="F157" s="171"/>
      <c r="G157" s="171"/>
      <c r="H157" s="171"/>
      <c r="I157" s="171"/>
      <c r="J157" s="171"/>
      <c r="K157" s="295"/>
      <c r="L157" s="171"/>
    </row>
    <row r="158" spans="2:12" x14ac:dyDescent="0.3">
      <c r="B158" s="171"/>
      <c r="C158" s="171"/>
      <c r="E158" s="171"/>
      <c r="F158" s="171"/>
      <c r="G158" s="171"/>
      <c r="H158" s="171"/>
      <c r="I158" s="171"/>
      <c r="J158" s="171"/>
      <c r="K158" s="295"/>
      <c r="L158" s="171"/>
    </row>
    <row r="159" spans="2:12" x14ac:dyDescent="0.3">
      <c r="B159" s="171"/>
      <c r="C159" s="171"/>
      <c r="E159" s="171"/>
      <c r="F159" s="171"/>
      <c r="G159" s="171"/>
      <c r="H159" s="171"/>
      <c r="I159" s="171"/>
      <c r="J159" s="171"/>
      <c r="K159" s="295"/>
      <c r="L159" s="171"/>
    </row>
    <row r="160" spans="2:12" x14ac:dyDescent="0.3">
      <c r="B160" s="171"/>
      <c r="C160" s="171"/>
      <c r="E160" s="171"/>
      <c r="F160" s="171"/>
      <c r="G160" s="171"/>
      <c r="H160" s="171"/>
      <c r="I160" s="171"/>
      <c r="J160" s="171"/>
      <c r="K160" s="295"/>
      <c r="L160" s="171"/>
    </row>
    <row r="161" spans="2:12" x14ac:dyDescent="0.3">
      <c r="B161" s="171"/>
      <c r="C161" s="171"/>
      <c r="E161" s="171"/>
      <c r="F161" s="171"/>
      <c r="G161" s="171"/>
      <c r="H161" s="171"/>
      <c r="I161" s="171"/>
      <c r="J161" s="171"/>
      <c r="K161" s="295"/>
      <c r="L161" s="171"/>
    </row>
    <row r="162" spans="2:12" x14ac:dyDescent="0.3">
      <c r="B162" s="171"/>
      <c r="C162" s="171"/>
      <c r="E162" s="171"/>
      <c r="F162" s="171"/>
      <c r="G162" s="171"/>
      <c r="H162" s="171"/>
      <c r="I162" s="171"/>
      <c r="J162" s="171"/>
      <c r="K162" s="295"/>
      <c r="L162" s="171"/>
    </row>
    <row r="163" spans="2:12" x14ac:dyDescent="0.3">
      <c r="B163" s="171"/>
      <c r="C163" s="171"/>
      <c r="E163" s="171"/>
      <c r="F163" s="171"/>
      <c r="G163" s="171"/>
      <c r="H163" s="171"/>
      <c r="I163" s="171"/>
      <c r="J163" s="171"/>
      <c r="K163" s="295"/>
      <c r="L163" s="171"/>
    </row>
    <row r="164" spans="2:12" x14ac:dyDescent="0.3">
      <c r="B164" s="171"/>
      <c r="C164" s="171"/>
      <c r="E164" s="171"/>
      <c r="F164" s="171"/>
      <c r="G164" s="171"/>
      <c r="H164" s="171"/>
      <c r="I164" s="171"/>
      <c r="J164" s="171"/>
      <c r="K164" s="295"/>
      <c r="L164" s="171"/>
    </row>
    <row r="165" spans="2:12" x14ac:dyDescent="0.3">
      <c r="B165" s="171"/>
      <c r="C165" s="171"/>
      <c r="E165" s="171"/>
      <c r="F165" s="171"/>
      <c r="G165" s="171"/>
      <c r="H165" s="171"/>
      <c r="I165" s="171"/>
      <c r="J165" s="171"/>
      <c r="K165" s="295"/>
      <c r="L165" s="171"/>
    </row>
    <row r="166" spans="2:12" x14ac:dyDescent="0.3">
      <c r="B166" s="171"/>
      <c r="C166" s="171"/>
      <c r="E166" s="171"/>
      <c r="F166" s="171"/>
      <c r="G166" s="171"/>
      <c r="H166" s="171"/>
      <c r="I166" s="171"/>
      <c r="J166" s="171"/>
      <c r="K166" s="295"/>
      <c r="L166" s="171"/>
    </row>
    <row r="167" spans="2:12" x14ac:dyDescent="0.3">
      <c r="B167" s="171"/>
      <c r="C167" s="171"/>
      <c r="E167" s="171"/>
      <c r="F167" s="171"/>
      <c r="G167" s="171"/>
      <c r="H167" s="171"/>
      <c r="I167" s="171"/>
      <c r="J167" s="171"/>
      <c r="K167" s="295"/>
      <c r="L167" s="171"/>
    </row>
    <row r="168" spans="2:12" x14ac:dyDescent="0.3">
      <c r="B168" s="171"/>
      <c r="C168" s="171"/>
      <c r="E168" s="171"/>
      <c r="F168" s="171"/>
      <c r="G168" s="171"/>
      <c r="H168" s="171"/>
      <c r="I168" s="171"/>
      <c r="J168" s="171"/>
      <c r="K168" s="295"/>
      <c r="L168" s="171"/>
    </row>
    <row r="169" spans="2:12" x14ac:dyDescent="0.3">
      <c r="B169" s="171"/>
      <c r="C169" s="171"/>
      <c r="E169" s="171"/>
      <c r="F169" s="171"/>
      <c r="G169" s="171"/>
      <c r="H169" s="171"/>
      <c r="I169" s="171"/>
      <c r="J169" s="171"/>
      <c r="K169" s="295"/>
      <c r="L169" s="171"/>
    </row>
    <row r="170" spans="2:12" x14ac:dyDescent="0.3">
      <c r="B170" s="171"/>
      <c r="C170" s="171"/>
      <c r="E170" s="171"/>
      <c r="F170" s="171"/>
      <c r="G170" s="171"/>
      <c r="H170" s="171"/>
      <c r="I170" s="171"/>
      <c r="J170" s="171"/>
      <c r="K170" s="295"/>
      <c r="L170" s="171"/>
    </row>
    <row r="171" spans="2:12" x14ac:dyDescent="0.3">
      <c r="B171" s="171"/>
      <c r="C171" s="171"/>
      <c r="E171" s="171"/>
      <c r="F171" s="171"/>
      <c r="G171" s="171"/>
      <c r="H171" s="171"/>
      <c r="I171" s="171"/>
      <c r="J171" s="171"/>
      <c r="K171" s="295"/>
      <c r="L171" s="171"/>
    </row>
    <row r="172" spans="2:12" x14ac:dyDescent="0.3">
      <c r="B172" s="171"/>
      <c r="C172" s="171"/>
      <c r="E172" s="171"/>
      <c r="F172" s="171"/>
      <c r="G172" s="171"/>
      <c r="H172" s="171"/>
      <c r="I172" s="171"/>
      <c r="J172" s="171"/>
      <c r="K172" s="295"/>
      <c r="L172" s="171"/>
    </row>
    <row r="173" spans="2:12" x14ac:dyDescent="0.3">
      <c r="B173" s="171"/>
      <c r="C173" s="171"/>
      <c r="E173" s="171"/>
      <c r="F173" s="171"/>
      <c r="G173" s="171"/>
      <c r="H173" s="171"/>
      <c r="I173" s="171"/>
      <c r="J173" s="171"/>
      <c r="K173" s="295"/>
      <c r="L173" s="171"/>
    </row>
    <row r="174" spans="2:12" x14ac:dyDescent="0.3">
      <c r="B174" s="171"/>
      <c r="C174" s="171"/>
      <c r="E174" s="171"/>
      <c r="F174" s="171"/>
      <c r="G174" s="171"/>
      <c r="H174" s="171"/>
      <c r="I174" s="171"/>
      <c r="J174" s="171"/>
      <c r="K174" s="295"/>
      <c r="L174" s="171"/>
    </row>
    <row r="175" spans="2:12" x14ac:dyDescent="0.3">
      <c r="B175" s="171"/>
      <c r="C175" s="171"/>
      <c r="E175" s="171"/>
      <c r="F175" s="171"/>
      <c r="G175" s="171"/>
      <c r="H175" s="171"/>
      <c r="I175" s="171"/>
      <c r="J175" s="171"/>
      <c r="K175" s="295"/>
      <c r="L175" s="171"/>
    </row>
    <row r="176" spans="2:12" x14ac:dyDescent="0.3">
      <c r="B176" s="171"/>
      <c r="C176" s="171"/>
      <c r="E176" s="171"/>
      <c r="F176" s="171"/>
      <c r="G176" s="171"/>
      <c r="H176" s="171"/>
      <c r="I176" s="171"/>
      <c r="J176" s="171"/>
      <c r="K176" s="295"/>
      <c r="L176" s="171"/>
    </row>
    <row r="177" spans="2:12" x14ac:dyDescent="0.3">
      <c r="B177" s="171"/>
      <c r="C177" s="171"/>
      <c r="E177" s="171"/>
      <c r="F177" s="171"/>
      <c r="G177" s="171"/>
      <c r="H177" s="171"/>
      <c r="I177" s="171"/>
      <c r="J177" s="171"/>
      <c r="K177" s="295"/>
      <c r="L177" s="171"/>
    </row>
    <row r="178" spans="2:12" x14ac:dyDescent="0.3">
      <c r="B178" s="171"/>
      <c r="C178" s="171"/>
      <c r="E178" s="171"/>
      <c r="F178" s="171"/>
      <c r="G178" s="171"/>
      <c r="H178" s="171"/>
      <c r="I178" s="171"/>
      <c r="J178" s="171"/>
      <c r="K178" s="295"/>
      <c r="L178" s="171"/>
    </row>
    <row r="179" spans="2:12" x14ac:dyDescent="0.3">
      <c r="B179" s="171"/>
      <c r="C179" s="171"/>
      <c r="E179" s="171"/>
      <c r="F179" s="171"/>
      <c r="G179" s="171"/>
      <c r="H179" s="171"/>
      <c r="I179" s="171"/>
      <c r="J179" s="171"/>
      <c r="K179" s="295"/>
      <c r="L179" s="171"/>
    </row>
    <row r="180" spans="2:12" x14ac:dyDescent="0.3">
      <c r="B180" s="171"/>
      <c r="C180" s="171"/>
      <c r="E180" s="171"/>
      <c r="F180" s="171"/>
      <c r="G180" s="171"/>
      <c r="H180" s="171"/>
      <c r="I180" s="171"/>
      <c r="J180" s="171"/>
      <c r="K180" s="295"/>
      <c r="L180" s="171"/>
    </row>
    <row r="181" spans="2:12" x14ac:dyDescent="0.3">
      <c r="B181" s="171"/>
      <c r="C181" s="171"/>
      <c r="E181" s="171"/>
      <c r="F181" s="171"/>
      <c r="G181" s="171"/>
      <c r="H181" s="171"/>
      <c r="I181" s="171"/>
      <c r="J181" s="171"/>
      <c r="K181" s="295"/>
      <c r="L181" s="171"/>
    </row>
    <row r="182" spans="2:12" x14ac:dyDescent="0.3">
      <c r="B182" s="171"/>
      <c r="C182" s="171"/>
      <c r="E182" s="171"/>
      <c r="F182" s="171"/>
      <c r="G182" s="171"/>
      <c r="H182" s="171"/>
      <c r="I182" s="171"/>
      <c r="J182" s="171"/>
      <c r="K182" s="295"/>
      <c r="L182" s="171"/>
    </row>
    <row r="183" spans="2:12" x14ac:dyDescent="0.3">
      <c r="B183" s="171"/>
      <c r="C183" s="171"/>
      <c r="E183" s="171"/>
      <c r="F183" s="171"/>
      <c r="G183" s="171"/>
      <c r="H183" s="171"/>
      <c r="I183" s="171"/>
      <c r="J183" s="171"/>
      <c r="K183" s="295"/>
      <c r="L183" s="171"/>
    </row>
    <row r="184" spans="2:12" x14ac:dyDescent="0.3">
      <c r="B184" s="171"/>
      <c r="C184" s="171"/>
      <c r="E184" s="171"/>
      <c r="F184" s="171"/>
      <c r="G184" s="171"/>
      <c r="H184" s="171"/>
      <c r="I184" s="171"/>
      <c r="J184" s="171"/>
      <c r="K184" s="295"/>
      <c r="L184" s="171"/>
    </row>
    <row r="185" spans="2:12" x14ac:dyDescent="0.3">
      <c r="B185" s="171"/>
      <c r="C185" s="171"/>
      <c r="E185" s="171"/>
      <c r="F185" s="171"/>
      <c r="G185" s="171"/>
      <c r="H185" s="171"/>
      <c r="I185" s="171"/>
      <c r="J185" s="171"/>
      <c r="K185" s="295"/>
      <c r="L185" s="171"/>
    </row>
    <row r="186" spans="2:12" x14ac:dyDescent="0.3">
      <c r="B186" s="171"/>
      <c r="C186" s="171"/>
      <c r="E186" s="171"/>
      <c r="F186" s="171"/>
      <c r="G186" s="171"/>
      <c r="H186" s="171"/>
      <c r="I186" s="171"/>
      <c r="J186" s="171"/>
      <c r="K186" s="295"/>
      <c r="L186" s="171"/>
    </row>
    <row r="187" spans="2:12" x14ac:dyDescent="0.3">
      <c r="B187" s="171"/>
      <c r="C187" s="171"/>
      <c r="E187" s="171"/>
      <c r="F187" s="171"/>
      <c r="G187" s="171"/>
      <c r="H187" s="171"/>
      <c r="I187" s="171"/>
      <c r="J187" s="171"/>
      <c r="K187" s="295"/>
      <c r="L187" s="171"/>
    </row>
    <row r="188" spans="2:12" x14ac:dyDescent="0.3">
      <c r="B188" s="171"/>
      <c r="C188" s="171"/>
      <c r="E188" s="171"/>
      <c r="F188" s="171"/>
      <c r="G188" s="171"/>
      <c r="H188" s="171"/>
      <c r="I188" s="171"/>
      <c r="J188" s="171"/>
      <c r="K188" s="295"/>
      <c r="L188" s="171"/>
    </row>
    <row r="189" spans="2:12" x14ac:dyDescent="0.3">
      <c r="B189" s="171"/>
      <c r="C189" s="171"/>
      <c r="E189" s="171"/>
      <c r="F189" s="171"/>
      <c r="G189" s="171"/>
      <c r="H189" s="171"/>
      <c r="I189" s="171"/>
      <c r="J189" s="171"/>
      <c r="K189" s="295"/>
      <c r="L189" s="171"/>
    </row>
    <row r="190" spans="2:12" x14ac:dyDescent="0.3">
      <c r="B190" s="171"/>
      <c r="C190" s="171"/>
      <c r="E190" s="171"/>
      <c r="F190" s="171"/>
      <c r="G190" s="171"/>
      <c r="H190" s="171"/>
      <c r="I190" s="171"/>
      <c r="J190" s="171"/>
      <c r="K190" s="295"/>
      <c r="L190" s="171"/>
    </row>
    <row r="191" spans="2:12" x14ac:dyDescent="0.3">
      <c r="B191" s="171"/>
      <c r="C191" s="171"/>
      <c r="E191" s="171"/>
      <c r="F191" s="171"/>
      <c r="G191" s="171"/>
      <c r="H191" s="171"/>
      <c r="I191" s="171"/>
      <c r="J191" s="171"/>
      <c r="K191" s="295"/>
      <c r="L191" s="171"/>
    </row>
    <row r="192" spans="2:12" x14ac:dyDescent="0.3">
      <c r="B192" s="171"/>
      <c r="C192" s="171"/>
      <c r="E192" s="171"/>
      <c r="F192" s="171"/>
      <c r="G192" s="171"/>
      <c r="H192" s="171"/>
      <c r="I192" s="171"/>
      <c r="J192" s="171"/>
      <c r="K192" s="295"/>
      <c r="L192" s="171"/>
    </row>
    <row r="193" spans="2:12" x14ac:dyDescent="0.3">
      <c r="B193" s="171"/>
      <c r="C193" s="171"/>
      <c r="E193" s="171"/>
      <c r="F193" s="171"/>
      <c r="G193" s="171"/>
      <c r="H193" s="171"/>
      <c r="I193" s="171"/>
      <c r="J193" s="171"/>
      <c r="K193" s="295"/>
      <c r="L193" s="171"/>
    </row>
    <row r="194" spans="2:12" x14ac:dyDescent="0.3">
      <c r="B194" s="171"/>
      <c r="C194" s="171"/>
      <c r="E194" s="171"/>
      <c r="F194" s="171"/>
      <c r="G194" s="171"/>
      <c r="H194" s="171"/>
      <c r="I194" s="171"/>
      <c r="J194" s="171"/>
      <c r="K194" s="295"/>
      <c r="L194" s="171"/>
    </row>
    <row r="195" spans="2:12" x14ac:dyDescent="0.3">
      <c r="B195" s="171"/>
      <c r="C195" s="171"/>
      <c r="E195" s="171"/>
      <c r="F195" s="171"/>
      <c r="G195" s="171"/>
      <c r="H195" s="171"/>
      <c r="I195" s="171"/>
      <c r="J195" s="171"/>
      <c r="K195" s="295"/>
      <c r="L195" s="171"/>
    </row>
    <row r="196" spans="2:12" x14ac:dyDescent="0.3">
      <c r="B196" s="171"/>
      <c r="C196" s="171"/>
      <c r="E196" s="171"/>
      <c r="F196" s="171"/>
      <c r="G196" s="171"/>
      <c r="H196" s="171"/>
      <c r="I196" s="171"/>
      <c r="J196" s="171"/>
      <c r="K196" s="295"/>
      <c r="L196" s="171"/>
    </row>
    <row r="197" spans="2:12" x14ac:dyDescent="0.3">
      <c r="B197" s="171"/>
      <c r="C197" s="171"/>
      <c r="E197" s="171"/>
      <c r="F197" s="171"/>
      <c r="G197" s="171"/>
      <c r="H197" s="171"/>
      <c r="I197" s="171"/>
      <c r="J197" s="171"/>
      <c r="K197" s="295"/>
      <c r="L197" s="171"/>
    </row>
    <row r="198" spans="2:12" x14ac:dyDescent="0.3">
      <c r="B198" s="171"/>
      <c r="C198" s="171"/>
      <c r="E198" s="171"/>
      <c r="F198" s="171"/>
      <c r="G198" s="171"/>
      <c r="H198" s="171"/>
      <c r="I198" s="171"/>
      <c r="J198" s="171"/>
      <c r="K198" s="295"/>
      <c r="L198" s="171"/>
    </row>
    <row r="199" spans="2:12" x14ac:dyDescent="0.3">
      <c r="B199" s="171"/>
      <c r="C199" s="171"/>
      <c r="E199" s="171"/>
      <c r="F199" s="171"/>
      <c r="G199" s="171"/>
      <c r="H199" s="171"/>
      <c r="I199" s="171"/>
      <c r="J199" s="171"/>
      <c r="K199" s="295"/>
      <c r="L199" s="171"/>
    </row>
    <row r="200" spans="2:12" x14ac:dyDescent="0.3">
      <c r="B200" s="171"/>
      <c r="C200" s="171"/>
      <c r="E200" s="171"/>
      <c r="F200" s="171"/>
      <c r="G200" s="171"/>
      <c r="H200" s="171"/>
      <c r="I200" s="171"/>
      <c r="J200" s="171"/>
      <c r="K200" s="295"/>
      <c r="L200" s="171"/>
    </row>
    <row r="201" spans="2:12" x14ac:dyDescent="0.3">
      <c r="B201" s="171"/>
      <c r="C201" s="171"/>
      <c r="E201" s="171"/>
      <c r="F201" s="171"/>
      <c r="G201" s="171"/>
      <c r="H201" s="171"/>
      <c r="I201" s="171"/>
      <c r="J201" s="171"/>
      <c r="K201" s="295"/>
      <c r="L201" s="171"/>
    </row>
    <row r="202" spans="2:12" x14ac:dyDescent="0.3">
      <c r="B202" s="171"/>
      <c r="C202" s="171"/>
      <c r="E202" s="171"/>
      <c r="F202" s="171"/>
      <c r="G202" s="171"/>
      <c r="H202" s="171"/>
      <c r="I202" s="171"/>
      <c r="J202" s="171"/>
      <c r="K202" s="295"/>
      <c r="L202" s="171"/>
    </row>
    <row r="203" spans="2:12" x14ac:dyDescent="0.3">
      <c r="B203" s="171"/>
      <c r="C203" s="171"/>
    </row>
    <row r="204" spans="2:12" x14ac:dyDescent="0.3">
      <c r="B204" s="171"/>
      <c r="C204" s="171"/>
    </row>
    <row r="205" spans="2:12" x14ac:dyDescent="0.3">
      <c r="B205" s="171"/>
      <c r="C205" s="171"/>
    </row>
    <row r="206" spans="2:12" x14ac:dyDescent="0.3">
      <c r="B206" s="171"/>
      <c r="C206" s="171"/>
    </row>
    <row r="207" spans="2:12" x14ac:dyDescent="0.3">
      <c r="B207" s="171"/>
      <c r="C207" s="171"/>
    </row>
    <row r="208" spans="2:12" x14ac:dyDescent="0.3">
      <c r="B208" s="171"/>
      <c r="C208" s="171"/>
    </row>
    <row r="209" spans="2:3" x14ac:dyDescent="0.3">
      <c r="B209" s="171"/>
      <c r="C209" s="171"/>
    </row>
    <row r="210" spans="2:3" x14ac:dyDescent="0.3">
      <c r="B210" s="171"/>
      <c r="C210" s="171"/>
    </row>
    <row r="211" spans="2:3" x14ac:dyDescent="0.3">
      <c r="B211" s="171"/>
      <c r="C211" s="171"/>
    </row>
    <row r="212" spans="2:3" x14ac:dyDescent="0.3">
      <c r="B212" s="171"/>
      <c r="C212" s="171"/>
    </row>
    <row r="213" spans="2:3" x14ac:dyDescent="0.3">
      <c r="B213" s="171"/>
      <c r="C213" s="171"/>
    </row>
    <row r="214" spans="2:3" x14ac:dyDescent="0.3">
      <c r="B214" s="171"/>
      <c r="C214" s="171"/>
    </row>
    <row r="215" spans="2:3" x14ac:dyDescent="0.3">
      <c r="B215" s="171"/>
      <c r="C215" s="171"/>
    </row>
    <row r="216" spans="2:3" x14ac:dyDescent="0.3">
      <c r="B216" s="171"/>
      <c r="C216" s="171"/>
    </row>
    <row r="217" spans="2:3" x14ac:dyDescent="0.3">
      <c r="B217" s="171"/>
      <c r="C217" s="171"/>
    </row>
    <row r="218" spans="2:3" x14ac:dyDescent="0.3">
      <c r="B218" s="171"/>
      <c r="C218" s="171"/>
    </row>
    <row r="219" spans="2:3" x14ac:dyDescent="0.3">
      <c r="B219" s="171"/>
      <c r="C219" s="171"/>
    </row>
    <row r="220" spans="2:3" x14ac:dyDescent="0.3">
      <c r="B220" s="171"/>
      <c r="C220" s="171"/>
    </row>
    <row r="221" spans="2:3" x14ac:dyDescent="0.3">
      <c r="B221" s="171"/>
      <c r="C221" s="171"/>
    </row>
    <row r="222" spans="2:3" x14ac:dyDescent="0.3">
      <c r="B222" s="171"/>
      <c r="C222" s="171"/>
    </row>
    <row r="223" spans="2:3" x14ac:dyDescent="0.3">
      <c r="B223" s="171"/>
      <c r="C223" s="171"/>
    </row>
    <row r="224" spans="2:3" x14ac:dyDescent="0.3">
      <c r="B224" s="171"/>
      <c r="C224" s="171"/>
    </row>
    <row r="225" spans="2:3" x14ac:dyDescent="0.3">
      <c r="B225" s="171"/>
      <c r="C225" s="171"/>
    </row>
    <row r="226" spans="2:3" x14ac:dyDescent="0.3">
      <c r="B226" s="171"/>
      <c r="C226" s="171"/>
    </row>
    <row r="227" spans="2:3" x14ac:dyDescent="0.3">
      <c r="B227" s="171"/>
      <c r="C227" s="171"/>
    </row>
    <row r="228" spans="2:3" x14ac:dyDescent="0.3">
      <c r="B228" s="171"/>
      <c r="C228" s="171"/>
    </row>
    <row r="229" spans="2:3" x14ac:dyDescent="0.3">
      <c r="B229" s="171"/>
      <c r="C229" s="171"/>
    </row>
    <row r="230" spans="2:3" x14ac:dyDescent="0.3">
      <c r="B230" s="171"/>
      <c r="C230" s="171"/>
    </row>
    <row r="231" spans="2:3" x14ac:dyDescent="0.3">
      <c r="B231" s="171"/>
      <c r="C231" s="171"/>
    </row>
    <row r="232" spans="2:3" x14ac:dyDescent="0.3">
      <c r="B232" s="171"/>
      <c r="C232" s="171"/>
    </row>
    <row r="233" spans="2:3" x14ac:dyDescent="0.3">
      <c r="B233" s="171"/>
      <c r="C233" s="171"/>
    </row>
    <row r="234" spans="2:3" x14ac:dyDescent="0.3">
      <c r="B234" s="171"/>
      <c r="C234" s="171"/>
    </row>
    <row r="235" spans="2:3" x14ac:dyDescent="0.3">
      <c r="B235" s="171"/>
      <c r="C235" s="171"/>
    </row>
    <row r="236" spans="2:3" x14ac:dyDescent="0.3">
      <c r="B236" s="171"/>
      <c r="C236" s="171"/>
    </row>
    <row r="237" spans="2:3" x14ac:dyDescent="0.3">
      <c r="B237" s="171"/>
      <c r="C237" s="171"/>
    </row>
    <row r="238" spans="2:3" x14ac:dyDescent="0.3">
      <c r="B238" s="171"/>
      <c r="C238" s="171"/>
    </row>
    <row r="239" spans="2:3" x14ac:dyDescent="0.3">
      <c r="B239" s="171"/>
      <c r="C239" s="171"/>
    </row>
    <row r="240" spans="2:3" x14ac:dyDescent="0.3">
      <c r="B240" s="171"/>
      <c r="C240" s="171"/>
    </row>
    <row r="241" spans="2:3" x14ac:dyDescent="0.3">
      <c r="B241" s="171"/>
      <c r="C241" s="171"/>
    </row>
    <row r="242" spans="2:3" x14ac:dyDescent="0.3">
      <c r="B242" s="171"/>
      <c r="C242" s="171"/>
    </row>
    <row r="243" spans="2:3" x14ac:dyDescent="0.3">
      <c r="B243" s="171"/>
      <c r="C243" s="171"/>
    </row>
    <row r="244" spans="2:3" x14ac:dyDescent="0.3">
      <c r="B244" s="171"/>
      <c r="C244" s="171"/>
    </row>
    <row r="245" spans="2:3" x14ac:dyDescent="0.3">
      <c r="B245" s="171"/>
      <c r="C245" s="171"/>
    </row>
    <row r="246" spans="2:3" x14ac:dyDescent="0.3">
      <c r="B246" s="171"/>
      <c r="C246" s="171"/>
    </row>
    <row r="247" spans="2:3" x14ac:dyDescent="0.3">
      <c r="B247" s="171"/>
      <c r="C247" s="171"/>
    </row>
    <row r="248" spans="2:3" x14ac:dyDescent="0.3">
      <c r="B248" s="171"/>
      <c r="C248" s="171"/>
    </row>
    <row r="249" spans="2:3" x14ac:dyDescent="0.3">
      <c r="B249" s="171"/>
      <c r="C249" s="171"/>
    </row>
    <row r="250" spans="2:3" x14ac:dyDescent="0.3">
      <c r="B250" s="171"/>
      <c r="C250" s="171"/>
    </row>
    <row r="251" spans="2:3" x14ac:dyDescent="0.3">
      <c r="B251" s="171"/>
      <c r="C251" s="171"/>
    </row>
    <row r="252" spans="2:3" x14ac:dyDescent="0.3">
      <c r="B252" s="171"/>
      <c r="C252" s="171"/>
    </row>
    <row r="253" spans="2:3" x14ac:dyDescent="0.3">
      <c r="B253" s="171"/>
      <c r="C253" s="171"/>
    </row>
    <row r="254" spans="2:3" x14ac:dyDescent="0.3">
      <c r="B254" s="171"/>
      <c r="C254" s="171"/>
    </row>
    <row r="255" spans="2:3" x14ac:dyDescent="0.3">
      <c r="B255" s="171"/>
      <c r="C255" s="171"/>
    </row>
    <row r="256" spans="2:3" x14ac:dyDescent="0.3">
      <c r="B256" s="171"/>
      <c r="C256" s="171"/>
    </row>
    <row r="257" spans="2:3" x14ac:dyDescent="0.3">
      <c r="B257" s="171"/>
      <c r="C257" s="171"/>
    </row>
    <row r="258" spans="2:3" x14ac:dyDescent="0.3">
      <c r="B258" s="171"/>
      <c r="C258" s="171"/>
    </row>
    <row r="259" spans="2:3" x14ac:dyDescent="0.3">
      <c r="B259" s="171"/>
      <c r="C259" s="171"/>
    </row>
    <row r="260" spans="2:3" x14ac:dyDescent="0.3">
      <c r="B260" s="171"/>
      <c r="C260" s="171"/>
    </row>
    <row r="261" spans="2:3" x14ac:dyDescent="0.3">
      <c r="B261" s="171"/>
      <c r="C261" s="171"/>
    </row>
    <row r="262" spans="2:3" x14ac:dyDescent="0.3">
      <c r="B262" s="171"/>
      <c r="C262" s="171"/>
    </row>
    <row r="263" spans="2:3" x14ac:dyDescent="0.3">
      <c r="B263" s="171"/>
      <c r="C263" s="171"/>
    </row>
    <row r="264" spans="2:3" x14ac:dyDescent="0.3">
      <c r="B264" s="171"/>
      <c r="C264" s="171"/>
    </row>
    <row r="265" spans="2:3" x14ac:dyDescent="0.3">
      <c r="B265" s="171"/>
      <c r="C265" s="171"/>
    </row>
    <row r="266" spans="2:3" x14ac:dyDescent="0.3">
      <c r="B266" s="171"/>
      <c r="C266" s="171"/>
    </row>
    <row r="267" spans="2:3" x14ac:dyDescent="0.3">
      <c r="B267" s="171"/>
      <c r="C267" s="171"/>
    </row>
    <row r="268" spans="2:3" x14ac:dyDescent="0.3">
      <c r="B268" s="171"/>
      <c r="C268" s="171"/>
    </row>
    <row r="269" spans="2:3" x14ac:dyDescent="0.3">
      <c r="B269" s="171"/>
      <c r="C269" s="171"/>
    </row>
  </sheetData>
  <sheetProtection algorithmName="SHA-512" hashValue="Lxv1zJP8y/aK/c+HWibIFQPjFAU/lPg0hio3oA0poMrNLOPpGJ2bCUug0XoXDfxYeR2cG/LOnVBTTlP2fr1I9A==" saltValue="TlFIdOMOkNTEv1sHW4vn5A==" spinCount="100000" sheet="1" objects="1" scenarios="1"/>
  <mergeCells count="2">
    <mergeCell ref="L5:L6"/>
    <mergeCell ref="L40:L42"/>
  </mergeCells>
  <conditionalFormatting sqref="C30:C32">
    <cfRule type="cellIs" dxfId="0" priority="1" operator="equal">
      <formula>FALSE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rgb="FF00486A"/>
  </sheetPr>
  <dimension ref="A1"/>
  <sheetViews>
    <sheetView workbookViewId="0">
      <selection activeCell="D16" sqref="D16"/>
    </sheetView>
  </sheetViews>
  <sheetFormatPr baseColWidth="10" defaultRowHeight="14.4" x14ac:dyDescent="0.3"/>
  <cols>
    <col min="1" max="16384" width="11.5546875" style="17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theme="3" tint="0.39997558519241921"/>
    <outlinePr summaryBelow="0" summaryRight="0"/>
  </sheetPr>
  <dimension ref="A1:AU78"/>
  <sheetViews>
    <sheetView zoomScale="85" zoomScaleNormal="85" workbookViewId="0">
      <selection activeCell="N23" sqref="N23"/>
    </sheetView>
  </sheetViews>
  <sheetFormatPr baseColWidth="10" defaultRowHeight="14.4" outlineLevelCol="1" x14ac:dyDescent="0.3"/>
  <cols>
    <col min="1" max="1" width="6.5546875" customWidth="1"/>
    <col min="2" max="2" width="42.5546875" bestFit="1" customWidth="1"/>
    <col min="3" max="3" width="16.5546875" customWidth="1"/>
    <col min="4" max="4" width="23" style="163" customWidth="1"/>
    <col min="5" max="5" width="13.6640625" bestFit="1" customWidth="1"/>
    <col min="6" max="6" width="12.5546875" bestFit="1" customWidth="1"/>
    <col min="7" max="7" width="14.109375" style="163" customWidth="1"/>
    <col min="8" max="8" width="13.5546875" customWidth="1"/>
    <col min="10" max="10" width="11.44140625" style="27" customWidth="1"/>
    <col min="11" max="11" width="11.88671875" style="27" customWidth="1"/>
    <col min="12" max="12" width="12.109375" customWidth="1"/>
    <col min="13" max="14" width="11.44140625" customWidth="1" outlineLevel="1"/>
    <col min="15" max="15" width="10.44140625" customWidth="1"/>
    <col min="16" max="16" width="18.5546875" customWidth="1" outlineLevel="1"/>
    <col min="17" max="17" width="8.5546875" customWidth="1" outlineLevel="1"/>
    <col min="18" max="18" width="9.88671875" customWidth="1" outlineLevel="1"/>
    <col min="19" max="19" width="18.109375" customWidth="1" outlineLevel="1"/>
    <col min="20" max="20" width="11.44140625" outlineLevel="1"/>
    <col min="21" max="21" width="15.6640625" bestFit="1" customWidth="1" outlineLevel="1"/>
    <col min="22" max="22" width="8.5546875" customWidth="1" outlineLevel="1"/>
    <col min="23" max="23" width="14" bestFit="1" customWidth="1" outlineLevel="1"/>
    <col min="24" max="24" width="17.88671875" customWidth="1" outlineLevel="1"/>
    <col min="25" max="25" width="17.44140625" bestFit="1" customWidth="1" outlineLevel="1"/>
    <col min="26" max="26" width="11.44140625" outlineLevel="1"/>
    <col min="27" max="27" width="10.88671875" style="163" outlineLevel="1"/>
    <col min="28" max="28" width="15.88671875" style="163" bestFit="1" customWidth="1" outlineLevel="1"/>
    <col min="29" max="29" width="11.44140625" outlineLevel="1"/>
    <col min="30" max="30" width="15.88671875" style="163" bestFit="1" customWidth="1" outlineLevel="1"/>
    <col min="31" max="31" width="17" style="163" customWidth="1" outlineLevel="1"/>
    <col min="32" max="32" width="15.88671875" style="163" bestFit="1" customWidth="1" outlineLevel="1"/>
    <col min="33" max="33" width="14" style="163" bestFit="1" customWidth="1" outlineLevel="1"/>
    <col min="34" max="34" width="13.33203125" style="163" customWidth="1" outlineLevel="1"/>
    <col min="35" max="35" width="14.6640625" style="163" customWidth="1" outlineLevel="1"/>
    <col min="36" max="36" width="15.88671875" style="163" bestFit="1" customWidth="1" outlineLevel="1"/>
    <col min="37" max="37" width="11.44140625" style="163" outlineLevel="1"/>
    <col min="38" max="38" width="15.44140625" style="163" customWidth="1" outlineLevel="1"/>
    <col min="39" max="39" width="17.6640625" style="163" customWidth="1" outlineLevel="1"/>
    <col min="40" max="40" width="22.5546875" style="163" customWidth="1" outlineLevel="1"/>
    <col min="41" max="41" width="16.33203125" style="163" customWidth="1" outlineLevel="1"/>
    <col min="42" max="42" width="3.109375" style="163" customWidth="1" outlineLevel="1"/>
    <col min="43" max="44" width="11.5546875" style="163" outlineLevel="1"/>
  </cols>
  <sheetData>
    <row r="1" spans="1:44" ht="17.399999999999999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46"/>
      <c r="K1" s="4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1:44" x14ac:dyDescent="0.3">
      <c r="B2" s="18" t="s">
        <v>46</v>
      </c>
      <c r="C2" s="19">
        <f>costs_GCA+costs_TAG</f>
        <v>404925800</v>
      </c>
      <c r="D2" s="19"/>
      <c r="E2" t="s">
        <v>47</v>
      </c>
      <c r="F2" s="39"/>
      <c r="G2" s="39"/>
      <c r="H2" s="34"/>
      <c r="U2" s="163"/>
      <c r="V2" s="163"/>
    </row>
    <row r="3" spans="1:44" x14ac:dyDescent="0.3">
      <c r="B3" s="18" t="s">
        <v>208</v>
      </c>
      <c r="C3" s="19">
        <f>costs_GCA+costs_TAG</f>
        <v>404925800</v>
      </c>
      <c r="D3" s="19"/>
      <c r="E3" t="s">
        <v>47</v>
      </c>
      <c r="F3" s="39"/>
      <c r="G3" s="39"/>
      <c r="H3" s="34"/>
      <c r="O3" s="18" t="s">
        <v>283</v>
      </c>
      <c r="P3" s="19">
        <f>costs_GCA+costs_TAG</f>
        <v>404925800</v>
      </c>
      <c r="U3" s="163"/>
      <c r="V3" s="163"/>
    </row>
    <row r="4" spans="1:44" x14ac:dyDescent="0.3">
      <c r="F4" s="39"/>
      <c r="G4" s="39"/>
      <c r="H4" s="34"/>
    </row>
    <row r="5" spans="1:44" x14ac:dyDescent="0.3">
      <c r="K5"/>
      <c r="L5" s="39"/>
      <c r="M5" s="39"/>
      <c r="N5" s="39"/>
      <c r="O5" s="176"/>
      <c r="P5" s="177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x14ac:dyDescent="0.3">
      <c r="D6" s="39"/>
      <c r="E6" s="39"/>
      <c r="F6" s="39"/>
      <c r="G6" s="39"/>
      <c r="J6" s="47" t="s">
        <v>70</v>
      </c>
      <c r="K6" s="47" t="s">
        <v>71</v>
      </c>
      <c r="L6" s="39"/>
    </row>
    <row r="7" spans="1:44" ht="15" thickBot="1" x14ac:dyDescent="0.35">
      <c r="A7" s="22" t="s">
        <v>110</v>
      </c>
      <c r="C7" s="23"/>
      <c r="D7" s="62"/>
      <c r="E7" s="185" t="s">
        <v>88</v>
      </c>
      <c r="F7" s="185" t="s">
        <v>87</v>
      </c>
      <c r="G7" s="185"/>
      <c r="H7" s="35"/>
      <c r="I7" s="35"/>
      <c r="J7" s="48" t="s">
        <v>87</v>
      </c>
      <c r="K7" s="48" t="s">
        <v>87</v>
      </c>
      <c r="L7" s="185"/>
      <c r="M7" s="35"/>
      <c r="N7" s="35"/>
      <c r="P7" s="200" t="s">
        <v>236</v>
      </c>
      <c r="Q7" s="200"/>
      <c r="R7" s="200"/>
      <c r="S7" s="200"/>
      <c r="T7" s="200"/>
      <c r="U7" s="200"/>
      <c r="V7" s="200"/>
      <c r="W7" s="200"/>
      <c r="X7" s="200"/>
      <c r="Y7" s="200"/>
      <c r="Z7" s="218" t="s">
        <v>237</v>
      </c>
      <c r="AA7" s="210"/>
      <c r="AB7" s="210"/>
      <c r="AC7" s="210"/>
      <c r="AD7" s="210"/>
      <c r="AE7" s="210"/>
      <c r="AF7" s="210"/>
      <c r="AG7" s="210"/>
      <c r="AH7" s="219" t="s">
        <v>238</v>
      </c>
      <c r="AI7" s="209"/>
      <c r="AJ7" s="209"/>
      <c r="AK7" s="209"/>
      <c r="AL7" s="209"/>
      <c r="AM7" s="209"/>
      <c r="AN7" s="209"/>
      <c r="AO7" s="209"/>
      <c r="AP7" s="39"/>
    </row>
    <row r="8" spans="1:44" ht="57.6" x14ac:dyDescent="0.3">
      <c r="A8" s="24" t="s">
        <v>48</v>
      </c>
      <c r="B8" s="24" t="s">
        <v>49</v>
      </c>
      <c r="C8" s="37" t="s">
        <v>50</v>
      </c>
      <c r="D8" s="37"/>
      <c r="E8" s="37" t="s">
        <v>115</v>
      </c>
      <c r="F8" s="37" t="s">
        <v>229</v>
      </c>
      <c r="G8" s="37"/>
      <c r="H8" s="37" t="s">
        <v>51</v>
      </c>
      <c r="I8" s="37" t="s">
        <v>52</v>
      </c>
      <c r="J8" s="247" t="s">
        <v>53</v>
      </c>
      <c r="K8" s="247" t="s">
        <v>54</v>
      </c>
      <c r="L8" s="37" t="s">
        <v>55</v>
      </c>
      <c r="M8" s="199" t="s">
        <v>230</v>
      </c>
      <c r="N8" s="253" t="s">
        <v>231</v>
      </c>
      <c r="O8" s="39"/>
      <c r="P8" s="33" t="s">
        <v>235</v>
      </c>
      <c r="Q8" s="33" t="s">
        <v>173</v>
      </c>
      <c r="R8" s="33" t="s">
        <v>175</v>
      </c>
      <c r="S8" s="33" t="s">
        <v>178</v>
      </c>
      <c r="T8" s="33" t="s">
        <v>111</v>
      </c>
      <c r="U8" s="33" t="s">
        <v>174</v>
      </c>
      <c r="V8" s="33" t="s">
        <v>176</v>
      </c>
      <c r="W8" s="33" t="s">
        <v>179</v>
      </c>
      <c r="X8" s="201" t="s">
        <v>239</v>
      </c>
      <c r="Y8" s="202" t="s">
        <v>240</v>
      </c>
      <c r="Z8" s="33" t="s">
        <v>181</v>
      </c>
      <c r="AA8" s="33" t="s">
        <v>213</v>
      </c>
      <c r="AB8" s="33" t="s">
        <v>215</v>
      </c>
      <c r="AC8" s="33" t="s">
        <v>182</v>
      </c>
      <c r="AD8" s="33" t="s">
        <v>213</v>
      </c>
      <c r="AE8" s="33" t="s">
        <v>216</v>
      </c>
      <c r="AF8" s="201" t="s">
        <v>245</v>
      </c>
      <c r="AG8" s="202" t="s">
        <v>246</v>
      </c>
      <c r="AH8" s="33" t="s">
        <v>181</v>
      </c>
      <c r="AI8" s="33" t="s">
        <v>213</v>
      </c>
      <c r="AJ8" s="33" t="s">
        <v>241</v>
      </c>
      <c r="AK8" s="33" t="s">
        <v>182</v>
      </c>
      <c r="AL8" s="33" t="s">
        <v>213</v>
      </c>
      <c r="AM8" s="33" t="s">
        <v>242</v>
      </c>
      <c r="AN8" s="201" t="s">
        <v>243</v>
      </c>
      <c r="AO8" s="202" t="s">
        <v>244</v>
      </c>
      <c r="AP8" s="214"/>
      <c r="AQ8" s="33" t="s">
        <v>211</v>
      </c>
      <c r="AR8" s="33" t="s">
        <v>212</v>
      </c>
    </row>
    <row r="9" spans="1:44" x14ac:dyDescent="0.3">
      <c r="A9">
        <f>1</f>
        <v>1</v>
      </c>
      <c r="B9" t="s">
        <v>56</v>
      </c>
      <c r="C9" s="25" t="s">
        <v>85</v>
      </c>
      <c r="D9" s="25" t="s">
        <v>279</v>
      </c>
      <c r="E9" s="164">
        <f>'Reference VO 4RP'!N5</f>
        <v>381.59447</v>
      </c>
      <c r="F9" s="34">
        <f>'Reference VO 4RP'!L5</f>
        <v>17377622</v>
      </c>
      <c r="G9" s="34">
        <f>E9*F9</f>
        <v>6631204456.9503403</v>
      </c>
      <c r="H9" s="157">
        <f>F9/SUM($F$9:$F$18)</f>
        <v>0.11994522350102309</v>
      </c>
      <c r="I9" s="157">
        <f>E9*H9</f>
        <v>45.770433990904451</v>
      </c>
      <c r="J9" s="246">
        <f>SUMIFS('Reference VO 4RP'!$G$5:$G$34,'Reference VO 4RP'!$B$5:$B$34,"Entry",'Reference VO 4RP'!$E$5:$E$34,$B9,'Reference VO 4RP'!$C$5:$C$34,J$6)</f>
        <v>0</v>
      </c>
      <c r="K9" s="246">
        <f>SUMIFS('Reference VO 4RP'!$G$5:$G$34,'Reference VO 4RP'!$B$5:$B$34,"Entry",'Reference VO 4RP'!$E$5:$E$34,$B9,'Reference VO 4RP'!$C$5:$C$34,K$6)</f>
        <v>531334.7699999999</v>
      </c>
      <c r="L9" s="38">
        <f t="shared" ref="L9:L18" si="0">SUMIF($B$23:$B$24,D9,$F$23:$F$24)</f>
        <v>0.98053176374372542</v>
      </c>
      <c r="M9" s="254">
        <f>'Reference VO 4RP'!O5</f>
        <v>1.3</v>
      </c>
      <c r="N9" s="255">
        <f>'Reference VO 4RP'!P5</f>
        <v>0.62</v>
      </c>
      <c r="O9" s="39"/>
      <c r="P9" s="38">
        <v>1</v>
      </c>
      <c r="Q9" s="157">
        <f>P9*$L9*$C$29</f>
        <v>0.87146352643606106</v>
      </c>
      <c r="R9" s="158">
        <f>IF(M9=0,0,IF(Q9&gt;(1+max_increase)*$M9,1,0))</f>
        <v>0</v>
      </c>
      <c r="S9" s="157">
        <f>(1-R9)*Q9+R9*(1+max_increase)*M9</f>
        <v>0.87146352643606106</v>
      </c>
      <c r="T9" s="38">
        <f>1-discount_DZK</f>
        <v>0.9</v>
      </c>
      <c r="U9" s="164">
        <f>Q9*T9</f>
        <v>0.78431717379245502</v>
      </c>
      <c r="V9" s="158">
        <f>IF(N9=0,0,IF(U9&gt;(1+max_increase)*$N9,1,0))</f>
        <v>1</v>
      </c>
      <c r="W9" s="157">
        <f>(1-V9)*U9+V9*(1+max_increase)*N9</f>
        <v>0.68200000000000005</v>
      </c>
      <c r="X9" s="203">
        <f t="shared" ref="X9:X18" si="1">((1-R9)*$U$65+R9)*S9</f>
        <v>0.97271069827451717</v>
      </c>
      <c r="Y9" s="204">
        <f>((1-V9)*$U$65+V9)*W9</f>
        <v>0.68200000000000005</v>
      </c>
      <c r="Z9" s="158">
        <f t="shared" ref="Z9:Z18" si="2">IF(M9=0,0,IF(X9&gt;(1+max_increase)*$M9,1,0))</f>
        <v>0</v>
      </c>
      <c r="AA9" s="158">
        <f>IF(Z9+R9&gt;0,1,0)</f>
        <v>0</v>
      </c>
      <c r="AB9" s="173">
        <f t="shared" ref="AB9:AB18" si="3">IF(Z9=1,M9*(1+max_increase),X9)</f>
        <v>0.97271069827451717</v>
      </c>
      <c r="AC9" s="158">
        <f t="shared" ref="AC9:AC18" si="4">IF(N9=0,0,IF(Y9&gt;(1+max_increase)*$N9,1,0))</f>
        <v>0</v>
      </c>
      <c r="AD9" s="158">
        <f>IF(AC9+V9&gt;0,1,0)</f>
        <v>1</v>
      </c>
      <c r="AE9" s="172">
        <f>IF(AC9=1,N9*(1+max_increase),Y9)</f>
        <v>0.68200000000000005</v>
      </c>
      <c r="AF9" s="211">
        <f t="shared" ref="AF9:AF18" si="5">IF(AA9=0,AB9*$AD$65,M9*(1+max_increase))</f>
        <v>0.97271069827451717</v>
      </c>
      <c r="AG9" s="212">
        <f>IF(AD9=0,Y9*$AD$65,N9*(1+max_increase))</f>
        <v>0.68200000000000005</v>
      </c>
      <c r="AH9" s="158">
        <f>IF(U9=0,0,IF(AF9&gt;(1+max_increase)*$M9,1,0))</f>
        <v>0</v>
      </c>
      <c r="AI9" s="158">
        <f>IF(AA9+AH9&gt;0,1,0)</f>
        <v>0</v>
      </c>
      <c r="AJ9" s="172">
        <f t="shared" ref="AJ9:AJ18" si="6">IF(AH9=1,M9*(1+max_increase),AF9)</f>
        <v>0.97271069827451717</v>
      </c>
      <c r="AK9" s="158">
        <f t="shared" ref="AK9:AK18" si="7">IF(V9=0,0,IF(AG9&gt;(1+max_increase)*$N9,1,0))</f>
        <v>0</v>
      </c>
      <c r="AL9" s="158">
        <f>IF(AD9+AK9&gt;0,1,0)</f>
        <v>1</v>
      </c>
      <c r="AM9" s="172">
        <f>IF(AK9=1,V9*(1+max_increase),AG9)</f>
        <v>0.68200000000000005</v>
      </c>
      <c r="AN9" s="211">
        <f t="shared" ref="AN9:AN18" si="8">IF(AI9=0,AJ9*$AL$65,M9*(1+max_increase))</f>
        <v>0.97271069827451717</v>
      </c>
      <c r="AO9" s="212">
        <f>IF(AL9=0,AG9*$AL$65,N9*(1+max_increase))</f>
        <v>0.68200000000000005</v>
      </c>
      <c r="AP9" s="215"/>
      <c r="AQ9" s="169">
        <f>IFERROR(MAX(AN9,0),0)</f>
        <v>0.97271069827451717</v>
      </c>
      <c r="AR9" s="169">
        <f>IFERROR(MAX(AO9,0),0)</f>
        <v>0.68200000000000005</v>
      </c>
    </row>
    <row r="10" spans="1:44" x14ac:dyDescent="0.3">
      <c r="A10">
        <f>A9+1</f>
        <v>2</v>
      </c>
      <c r="B10" t="s">
        <v>58</v>
      </c>
      <c r="C10" s="25" t="s">
        <v>85</v>
      </c>
      <c r="D10" s="25" t="s">
        <v>279</v>
      </c>
      <c r="E10" s="164">
        <f>'Reference VO 4RP'!N6</f>
        <v>3</v>
      </c>
      <c r="F10" s="34">
        <f>'Reference VO 4RP'!L6</f>
        <v>96080396</v>
      </c>
      <c r="G10" s="34">
        <f t="shared" ref="G10:G18" si="9">E10*F10</f>
        <v>288241188</v>
      </c>
      <c r="H10" s="157">
        <f>F10/SUM($F$9:$F$18)</f>
        <v>0.66317385498929626</v>
      </c>
      <c r="I10" s="157">
        <f>E10*H10</f>
        <v>1.9895215649678888</v>
      </c>
      <c r="J10" s="246">
        <f>SUMIFS('Reference VO 4RP'!$G$5:$G$34,'Reference VO 4RP'!$B$5:$B$34,"Entry",'Reference VO 4RP'!$E$5:$E$34,$B10,'Reference VO 4RP'!$C$5:$C$34,J$6)</f>
        <v>81872004.269999996</v>
      </c>
      <c r="K10" s="246">
        <f>SUMIFS('Reference VO 4RP'!$G$5:$G$34,'Reference VO 4RP'!$B$5:$B$34,"Entry",'Reference VO 4RP'!$E$5:$E$34,$B10,'Reference VO 4RP'!$C$5:$C$34,K$6)</f>
        <v>0</v>
      </c>
      <c r="L10" s="38">
        <f t="shared" si="0"/>
        <v>0.98053176374372542</v>
      </c>
      <c r="M10" s="254">
        <f>'Reference VO 4RP'!O6</f>
        <v>0.77</v>
      </c>
      <c r="N10" s="255">
        <f>'Reference VO 4RP'!P6</f>
        <v>0</v>
      </c>
      <c r="O10" s="39"/>
      <c r="P10" s="38">
        <v>1</v>
      </c>
      <c r="Q10" s="157">
        <f t="shared" ref="Q10:Q18" si="10">P10*$L10*$C$29</f>
        <v>0.87146352643606106</v>
      </c>
      <c r="R10" s="158">
        <f t="shared" ref="R10:R17" si="11">IF(M10=0,0,IF(Q10&gt;(1+max_increase)*$M10,1,0))</f>
        <v>1</v>
      </c>
      <c r="S10" s="157">
        <f t="shared" ref="S10:S18" si="12">(1-R10)*Q10+R10*(1+max_increase)*M10</f>
        <v>0.84700000000000009</v>
      </c>
      <c r="T10" s="38">
        <f>1-discount_DZK</f>
        <v>0.9</v>
      </c>
      <c r="U10" s="164">
        <f t="shared" ref="U10:U18" si="13">Q10*T10</f>
        <v>0.78431717379245502</v>
      </c>
      <c r="V10" s="158">
        <f>R10</f>
        <v>1</v>
      </c>
      <c r="W10" s="157">
        <f>S10*(1-discount_DZK)</f>
        <v>0.76230000000000009</v>
      </c>
      <c r="X10" s="203">
        <f t="shared" si="1"/>
        <v>0.84700000000000009</v>
      </c>
      <c r="Y10" s="204">
        <f t="shared" ref="Y10:Y18" si="14">X10*T10</f>
        <v>0.76230000000000009</v>
      </c>
      <c r="Z10" s="158">
        <f t="shared" si="2"/>
        <v>0</v>
      </c>
      <c r="AA10" s="158">
        <f>IF(Z10+R10&gt;0,1,0)</f>
        <v>1</v>
      </c>
      <c r="AB10" s="172">
        <f t="shared" si="3"/>
        <v>0.84700000000000009</v>
      </c>
      <c r="AC10" s="158">
        <f t="shared" si="4"/>
        <v>0</v>
      </c>
      <c r="AD10" s="158">
        <f>AA10</f>
        <v>1</v>
      </c>
      <c r="AE10" s="172">
        <f t="shared" ref="AE10:AE18" si="15">AB10*T10</f>
        <v>0.76230000000000009</v>
      </c>
      <c r="AF10" s="211">
        <f t="shared" si="5"/>
        <v>0.84700000000000009</v>
      </c>
      <c r="AG10" s="213">
        <f>AF10*T10</f>
        <v>0.76230000000000009</v>
      </c>
      <c r="AH10" s="158">
        <f t="shared" ref="AH10:AH17" si="16">IF(U10=0,0,IF(AF10&gt;(1+max_increase)*$M10,1,0))</f>
        <v>0</v>
      </c>
      <c r="AI10" s="158">
        <f t="shared" ref="AI10:AI18" si="17">IF(AA10+AH10&gt;0,1,0)</f>
        <v>1</v>
      </c>
      <c r="AJ10" s="172">
        <f t="shared" si="6"/>
        <v>0.84700000000000009</v>
      </c>
      <c r="AK10" s="158">
        <f t="shared" si="7"/>
        <v>1</v>
      </c>
      <c r="AL10" s="158">
        <f>AI10</f>
        <v>1</v>
      </c>
      <c r="AM10" s="172">
        <f>AJ10*T10</f>
        <v>0.76230000000000009</v>
      </c>
      <c r="AN10" s="211">
        <f t="shared" si="8"/>
        <v>0.84700000000000009</v>
      </c>
      <c r="AO10" s="213">
        <f>AN10*T10</f>
        <v>0.76230000000000009</v>
      </c>
      <c r="AP10" s="216"/>
      <c r="AQ10" s="169">
        <f t="shared" ref="AQ10:AQ18" si="18">IFERROR(MAX(AN10,0),0)</f>
        <v>0.84700000000000009</v>
      </c>
      <c r="AR10" s="169">
        <f t="shared" ref="AR10:AR18" si="19">IFERROR(MAX(AO10,0),0)</f>
        <v>0.76230000000000009</v>
      </c>
    </row>
    <row r="11" spans="1:44" x14ac:dyDescent="0.3">
      <c r="A11">
        <f t="shared" ref="A11:A12" si="20">A10+1</f>
        <v>3</v>
      </c>
      <c r="B11" t="s">
        <v>59</v>
      </c>
      <c r="C11" s="25" t="s">
        <v>85</v>
      </c>
      <c r="D11" s="25" t="s">
        <v>279</v>
      </c>
      <c r="E11" s="164">
        <f>'Reference VO 4RP'!N7</f>
        <v>242</v>
      </c>
      <c r="F11" s="34">
        <f>'Reference VO 4RP'!L7</f>
        <v>5599151</v>
      </c>
      <c r="G11" s="34">
        <f t="shared" si="9"/>
        <v>1354994542</v>
      </c>
      <c r="H11" s="157">
        <f t="shared" ref="H11:H15" si="21">F11/SUM($F$9:$F$18)</f>
        <v>3.8646911419236589E-2</v>
      </c>
      <c r="I11" s="157">
        <f t="shared" ref="I11:I12" si="22">E11*H11</f>
        <v>9.3525525634552551</v>
      </c>
      <c r="J11" s="246">
        <f>SUMIFS('Reference VO 4RP'!$G$5:$G$34,'Reference VO 4RP'!$B$5:$B$34,"Entry",'Reference VO 4RP'!$E$5:$E$34,$B11,'Reference VO 4RP'!$C$5:$C$34,J$6)</f>
        <v>9651005.7300000004</v>
      </c>
      <c r="K11" s="246">
        <f>SUMIFS('Reference VO 4RP'!$G$5:$G$34,'Reference VO 4RP'!$B$5:$B$34,"Entry",'Reference VO 4RP'!$E$5:$E$34,$B11,'Reference VO 4RP'!$C$5:$C$34,K$6)</f>
        <v>0</v>
      </c>
      <c r="L11" s="38">
        <f t="shared" si="0"/>
        <v>0.98053176374372542</v>
      </c>
      <c r="M11" s="254">
        <f>'Reference VO 4RP'!O7</f>
        <v>1.3</v>
      </c>
      <c r="N11" s="255">
        <f>'Reference VO 4RP'!P7</f>
        <v>0</v>
      </c>
      <c r="O11" s="39"/>
      <c r="P11" s="38">
        <v>1</v>
      </c>
      <c r="Q11" s="157">
        <f t="shared" si="10"/>
        <v>0.87146352643606106</v>
      </c>
      <c r="R11" s="158">
        <f t="shared" si="11"/>
        <v>0</v>
      </c>
      <c r="S11" s="157">
        <f t="shared" si="12"/>
        <v>0.87146352643606106</v>
      </c>
      <c r="T11" s="38">
        <f>1-discount_DZK</f>
        <v>0.9</v>
      </c>
      <c r="U11" s="164">
        <f t="shared" si="13"/>
        <v>0.78431717379245502</v>
      </c>
      <c r="V11" s="158">
        <f t="shared" ref="V11:V18" si="23">R11</f>
        <v>0</v>
      </c>
      <c r="W11" s="157">
        <f>S11*(1-discount_DZK)</f>
        <v>0.78431717379245502</v>
      </c>
      <c r="X11" s="203">
        <f t="shared" si="1"/>
        <v>0.97271069827451717</v>
      </c>
      <c r="Y11" s="204">
        <f t="shared" si="14"/>
        <v>0.87543962844706547</v>
      </c>
      <c r="Z11" s="158">
        <f t="shared" si="2"/>
        <v>0</v>
      </c>
      <c r="AA11" s="158">
        <f t="shared" ref="AA11:AA18" si="24">IF(Z11+R11&gt;0,1,0)</f>
        <v>0</v>
      </c>
      <c r="AB11" s="172">
        <f t="shared" si="3"/>
        <v>0.97271069827451717</v>
      </c>
      <c r="AC11" s="158">
        <f t="shared" si="4"/>
        <v>0</v>
      </c>
      <c r="AD11" s="158">
        <f t="shared" ref="AD11:AD18" si="25">AA11</f>
        <v>0</v>
      </c>
      <c r="AE11" s="172">
        <f t="shared" si="15"/>
        <v>0.87543962844706547</v>
      </c>
      <c r="AF11" s="211">
        <f t="shared" si="5"/>
        <v>0.97271069827451717</v>
      </c>
      <c r="AG11" s="213">
        <f t="shared" ref="AG11:AG18" si="26">AF11*T11</f>
        <v>0.87543962844706547</v>
      </c>
      <c r="AH11" s="158">
        <f t="shared" si="16"/>
        <v>0</v>
      </c>
      <c r="AI11" s="158">
        <f t="shared" si="17"/>
        <v>0</v>
      </c>
      <c r="AJ11" s="172">
        <f t="shared" si="6"/>
        <v>0.97271069827451717</v>
      </c>
      <c r="AK11" s="158">
        <f t="shared" si="7"/>
        <v>0</v>
      </c>
      <c r="AL11" s="158">
        <f t="shared" ref="AL11:AL18" si="27">AI11</f>
        <v>0</v>
      </c>
      <c r="AM11" s="172">
        <f t="shared" ref="AM11:AM18" si="28">AJ11*T11</f>
        <v>0.87543962844706547</v>
      </c>
      <c r="AN11" s="211">
        <f t="shared" si="8"/>
        <v>0.97271069827451717</v>
      </c>
      <c r="AO11" s="213">
        <f t="shared" ref="AO11:AO18" si="29">AN11*T11</f>
        <v>0.87543962844706547</v>
      </c>
      <c r="AP11" s="216"/>
      <c r="AQ11" s="169">
        <f t="shared" si="18"/>
        <v>0.97271069827451717</v>
      </c>
      <c r="AR11" s="169">
        <f t="shared" si="19"/>
        <v>0.87543962844706547</v>
      </c>
    </row>
    <row r="12" spans="1:44" x14ac:dyDescent="0.3">
      <c r="A12">
        <f t="shared" si="20"/>
        <v>4</v>
      </c>
      <c r="B12" t="s">
        <v>60</v>
      </c>
      <c r="C12" s="25" t="s">
        <v>85</v>
      </c>
      <c r="D12" s="25" t="s">
        <v>279</v>
      </c>
      <c r="E12" s="164">
        <f>'Reference VO 4RP'!N8</f>
        <v>337</v>
      </c>
      <c r="F12" s="34">
        <f>'Reference VO 4RP'!L8</f>
        <v>4750155</v>
      </c>
      <c r="G12" s="34">
        <f t="shared" si="9"/>
        <v>1600802235</v>
      </c>
      <c r="H12" s="157">
        <f t="shared" si="21"/>
        <v>3.2786902784483533E-2</v>
      </c>
      <c r="I12" s="157">
        <f t="shared" si="22"/>
        <v>11.04918623837095</v>
      </c>
      <c r="J12" s="246">
        <f>SUMIFS('Reference VO 4RP'!$G$5:$G$34,'Reference VO 4RP'!$B$5:$B$34,"Entry",'Reference VO 4RP'!$E$5:$E$34,$B12,'Reference VO 4RP'!$C$5:$C$34,J$6)</f>
        <v>1393155</v>
      </c>
      <c r="K12" s="246">
        <f>SUMIFS('Reference VO 4RP'!$G$5:$G$34,'Reference VO 4RP'!$B$5:$B$34,"Entry",'Reference VO 4RP'!$E$5:$E$34,$B12,'Reference VO 4RP'!$C$5:$C$34,K$6)</f>
        <v>3357000</v>
      </c>
      <c r="L12" s="38">
        <f t="shared" si="0"/>
        <v>0.98053176374372542</v>
      </c>
      <c r="M12" s="254">
        <f>'Reference VO 4RP'!O8</f>
        <v>1.3</v>
      </c>
      <c r="N12" s="255">
        <f>'Reference VO 4RP'!P8</f>
        <v>1.17</v>
      </c>
      <c r="O12" s="39"/>
      <c r="P12" s="38">
        <v>1</v>
      </c>
      <c r="Q12" s="157">
        <f t="shared" si="10"/>
        <v>0.87146352643606106</v>
      </c>
      <c r="R12" s="158">
        <f t="shared" si="11"/>
        <v>0</v>
      </c>
      <c r="S12" s="157">
        <f t="shared" si="12"/>
        <v>0.87146352643606106</v>
      </c>
      <c r="T12" s="38">
        <f>1-discount_DZK</f>
        <v>0.9</v>
      </c>
      <c r="U12" s="164">
        <f t="shared" si="13"/>
        <v>0.78431717379245502</v>
      </c>
      <c r="V12" s="158">
        <f t="shared" si="23"/>
        <v>0</v>
      </c>
      <c r="W12" s="157">
        <f t="shared" ref="W12:W18" si="30">S12*(1-discount_DZK)</f>
        <v>0.78431717379245502</v>
      </c>
      <c r="X12" s="203">
        <f t="shared" si="1"/>
        <v>0.97271069827451717</v>
      </c>
      <c r="Y12" s="204">
        <f t="shared" si="14"/>
        <v>0.87543962844706547</v>
      </c>
      <c r="Z12" s="158">
        <f t="shared" si="2"/>
        <v>0</v>
      </c>
      <c r="AA12" s="158">
        <f t="shared" si="24"/>
        <v>0</v>
      </c>
      <c r="AB12" s="172">
        <f t="shared" si="3"/>
        <v>0.97271069827451717</v>
      </c>
      <c r="AC12" s="158">
        <f t="shared" si="4"/>
        <v>0</v>
      </c>
      <c r="AD12" s="158">
        <f t="shared" si="25"/>
        <v>0</v>
      </c>
      <c r="AE12" s="172">
        <f t="shared" si="15"/>
        <v>0.87543962844706547</v>
      </c>
      <c r="AF12" s="211">
        <f t="shared" si="5"/>
        <v>0.97271069827451717</v>
      </c>
      <c r="AG12" s="213">
        <f t="shared" si="26"/>
        <v>0.87543962844706547</v>
      </c>
      <c r="AH12" s="158">
        <f t="shared" si="16"/>
        <v>0</v>
      </c>
      <c r="AI12" s="158">
        <f t="shared" si="17"/>
        <v>0</v>
      </c>
      <c r="AJ12" s="172">
        <f t="shared" si="6"/>
        <v>0.97271069827451717</v>
      </c>
      <c r="AK12" s="158">
        <f t="shared" si="7"/>
        <v>0</v>
      </c>
      <c r="AL12" s="158">
        <f t="shared" si="27"/>
        <v>0</v>
      </c>
      <c r="AM12" s="172">
        <f t="shared" si="28"/>
        <v>0.87543962844706547</v>
      </c>
      <c r="AN12" s="211">
        <f t="shared" si="8"/>
        <v>0.97271069827451717</v>
      </c>
      <c r="AO12" s="213">
        <f t="shared" si="29"/>
        <v>0.87543962844706547</v>
      </c>
      <c r="AP12" s="216"/>
      <c r="AQ12" s="169">
        <f t="shared" si="18"/>
        <v>0.97271069827451717</v>
      </c>
      <c r="AR12" s="169">
        <f t="shared" si="19"/>
        <v>0.87543962844706547</v>
      </c>
    </row>
    <row r="13" spans="1:44" x14ac:dyDescent="0.3">
      <c r="A13">
        <v>5</v>
      </c>
      <c r="B13" t="s">
        <v>61</v>
      </c>
      <c r="C13" s="25" t="s">
        <v>85</v>
      </c>
      <c r="D13" s="25" t="s">
        <v>280</v>
      </c>
      <c r="E13" s="164">
        <f>'Reference VO 4RP'!N9</f>
        <v>2</v>
      </c>
      <c r="F13" s="34">
        <f>'Reference VO 4RP'!L9</f>
        <v>7273500</v>
      </c>
      <c r="G13" s="34">
        <f t="shared" si="9"/>
        <v>14547000</v>
      </c>
      <c r="H13" s="157">
        <f t="shared" si="21"/>
        <v>5.0203738068113776E-2</v>
      </c>
      <c r="I13" s="157">
        <f t="shared" ref="I13" si="31">E13*H13</f>
        <v>0.10040747613622755</v>
      </c>
      <c r="J13" s="246">
        <f>SUMIFS('Reference VO 4RP'!$G$5:$G$34,'Reference VO 4RP'!$B$5:$B$34,"Entry",'Reference VO 4RP'!$E$5:$E$34,$B13,'Reference VO 4RP'!$C$5:$C$34,J$6)</f>
        <v>5749393</v>
      </c>
      <c r="K13" s="246">
        <f>SUMIFS('Reference VO 4RP'!$G$5:$G$34,'Reference VO 4RP'!$B$5:$B$34,"Entry",'Reference VO 4RP'!$E$5:$E$34,$B13,'Reference VO 4RP'!$C$5:$C$34,K$6)</f>
        <v>0</v>
      </c>
      <c r="L13" s="38">
        <f t="shared" si="0"/>
        <v>1.2563985084849549</v>
      </c>
      <c r="M13" s="254">
        <f>'Reference VO 4RP'!O9</f>
        <v>0</v>
      </c>
      <c r="N13" s="255">
        <f>'Reference VO 4RP'!P9</f>
        <v>0</v>
      </c>
      <c r="O13" s="39"/>
      <c r="P13" s="38">
        <f>(1-discount_storage_entry)</f>
        <v>0</v>
      </c>
      <c r="Q13" s="157">
        <f t="shared" si="10"/>
        <v>0</v>
      </c>
      <c r="R13" s="158">
        <f t="shared" si="11"/>
        <v>0</v>
      </c>
      <c r="S13" s="157">
        <f t="shared" si="12"/>
        <v>0</v>
      </c>
      <c r="T13" s="38">
        <f>(1-discount_storage_entry)</f>
        <v>0</v>
      </c>
      <c r="U13" s="164">
        <f t="shared" si="13"/>
        <v>0</v>
      </c>
      <c r="V13" s="158">
        <f t="shared" si="23"/>
        <v>0</v>
      </c>
      <c r="W13" s="157">
        <f t="shared" si="30"/>
        <v>0</v>
      </c>
      <c r="X13" s="203">
        <f t="shared" si="1"/>
        <v>0</v>
      </c>
      <c r="Y13" s="204">
        <f t="shared" si="14"/>
        <v>0</v>
      </c>
      <c r="Z13" s="158">
        <f t="shared" si="2"/>
        <v>0</v>
      </c>
      <c r="AA13" s="158">
        <f t="shared" si="24"/>
        <v>0</v>
      </c>
      <c r="AB13" s="172">
        <f t="shared" si="3"/>
        <v>0</v>
      </c>
      <c r="AC13" s="158">
        <f t="shared" si="4"/>
        <v>0</v>
      </c>
      <c r="AD13" s="158">
        <f t="shared" si="25"/>
        <v>0</v>
      </c>
      <c r="AE13" s="172">
        <f t="shared" si="15"/>
        <v>0</v>
      </c>
      <c r="AF13" s="211">
        <f t="shared" si="5"/>
        <v>0</v>
      </c>
      <c r="AG13" s="213">
        <f t="shared" si="26"/>
        <v>0</v>
      </c>
      <c r="AH13" s="158">
        <f>IF(U13=0,0,IF(AF13&gt;(1+max_increase)*$M13,1,0))</f>
        <v>0</v>
      </c>
      <c r="AI13" s="158">
        <f t="shared" si="17"/>
        <v>0</v>
      </c>
      <c r="AJ13" s="172">
        <f t="shared" si="6"/>
        <v>0</v>
      </c>
      <c r="AK13" s="158">
        <f t="shared" si="7"/>
        <v>0</v>
      </c>
      <c r="AL13" s="158">
        <f t="shared" si="27"/>
        <v>0</v>
      </c>
      <c r="AM13" s="172">
        <f t="shared" si="28"/>
        <v>0</v>
      </c>
      <c r="AN13" s="211">
        <f t="shared" si="8"/>
        <v>0</v>
      </c>
      <c r="AO13" s="213">
        <f t="shared" si="29"/>
        <v>0</v>
      </c>
      <c r="AP13" s="216"/>
      <c r="AQ13" s="169">
        <f t="shared" si="18"/>
        <v>0</v>
      </c>
      <c r="AR13" s="169">
        <f t="shared" si="19"/>
        <v>0</v>
      </c>
    </row>
    <row r="14" spans="1:44" x14ac:dyDescent="0.3">
      <c r="A14">
        <v>6</v>
      </c>
      <c r="B14" t="s">
        <v>116</v>
      </c>
      <c r="C14" s="25" t="s">
        <v>85</v>
      </c>
      <c r="D14" s="25" t="s">
        <v>280</v>
      </c>
      <c r="E14" s="164">
        <f>'Reference VO 4RP'!N10</f>
        <v>334</v>
      </c>
      <c r="F14" s="34">
        <f>'Reference VO 4RP'!L10</f>
        <v>2950825</v>
      </c>
      <c r="G14" s="34">
        <f t="shared" si="9"/>
        <v>985575550</v>
      </c>
      <c r="H14" s="157">
        <f t="shared" si="21"/>
        <v>2.036742220180681E-2</v>
      </c>
      <c r="I14" s="157">
        <f t="shared" ref="I14" si="32">E14*H14</f>
        <v>6.8027190154034747</v>
      </c>
      <c r="J14" s="246">
        <f>SUMIFS('Reference VO 4RP'!$G$5:$G$34,'Reference VO 4RP'!$B$5:$B$34,"Entry",'Reference VO 4RP'!$E$5:$E$34,$B14,'Reference VO 4RP'!$C$5:$C$34,J$6)</f>
        <v>2950825</v>
      </c>
      <c r="K14" s="246">
        <f>SUMIFS('Reference VO 4RP'!$G$5:$G$34,'Reference VO 4RP'!$B$5:$B$34,"Entry",'Reference VO 4RP'!$E$5:$E$34,$B14,'Reference VO 4RP'!$C$5:$C$34,K$6)</f>
        <v>0</v>
      </c>
      <c r="L14" s="38">
        <f t="shared" si="0"/>
        <v>1.2563985084849549</v>
      </c>
      <c r="M14" s="254">
        <f>'Reference VO 4RP'!O10</f>
        <v>0</v>
      </c>
      <c r="N14" s="255">
        <f>'Reference VO 4RP'!P10</f>
        <v>0</v>
      </c>
      <c r="O14" s="39"/>
      <c r="P14" s="38">
        <f>(1-discount_storage_entry)</f>
        <v>0</v>
      </c>
      <c r="Q14" s="157">
        <f t="shared" si="10"/>
        <v>0</v>
      </c>
      <c r="R14" s="158">
        <f t="shared" si="11"/>
        <v>0</v>
      </c>
      <c r="S14" s="157">
        <f t="shared" si="12"/>
        <v>0</v>
      </c>
      <c r="T14" s="38">
        <f>(1-discount_storage_entry)</f>
        <v>0</v>
      </c>
      <c r="U14" s="164">
        <f t="shared" si="13"/>
        <v>0</v>
      </c>
      <c r="V14" s="158">
        <f t="shared" si="23"/>
        <v>0</v>
      </c>
      <c r="W14" s="157">
        <f t="shared" si="30"/>
        <v>0</v>
      </c>
      <c r="X14" s="203">
        <f t="shared" si="1"/>
        <v>0</v>
      </c>
      <c r="Y14" s="204">
        <f t="shared" si="14"/>
        <v>0</v>
      </c>
      <c r="Z14" s="158">
        <f t="shared" si="2"/>
        <v>0</v>
      </c>
      <c r="AA14" s="158">
        <f t="shared" si="24"/>
        <v>0</v>
      </c>
      <c r="AB14" s="172">
        <f t="shared" si="3"/>
        <v>0</v>
      </c>
      <c r="AC14" s="158">
        <f t="shared" si="4"/>
        <v>0</v>
      </c>
      <c r="AD14" s="158">
        <f t="shared" si="25"/>
        <v>0</v>
      </c>
      <c r="AE14" s="172">
        <f t="shared" si="15"/>
        <v>0</v>
      </c>
      <c r="AF14" s="211">
        <f t="shared" si="5"/>
        <v>0</v>
      </c>
      <c r="AG14" s="213">
        <f t="shared" si="26"/>
        <v>0</v>
      </c>
      <c r="AH14" s="158">
        <f t="shared" si="16"/>
        <v>0</v>
      </c>
      <c r="AI14" s="158">
        <f t="shared" si="17"/>
        <v>0</v>
      </c>
      <c r="AJ14" s="172">
        <f t="shared" si="6"/>
        <v>0</v>
      </c>
      <c r="AK14" s="158">
        <f t="shared" si="7"/>
        <v>0</v>
      </c>
      <c r="AL14" s="158">
        <f t="shared" si="27"/>
        <v>0</v>
      </c>
      <c r="AM14" s="172">
        <f t="shared" si="28"/>
        <v>0</v>
      </c>
      <c r="AN14" s="211">
        <f t="shared" si="8"/>
        <v>0</v>
      </c>
      <c r="AO14" s="213">
        <f t="shared" si="29"/>
        <v>0</v>
      </c>
      <c r="AP14" s="216"/>
      <c r="AQ14" s="169">
        <f t="shared" si="18"/>
        <v>0</v>
      </c>
      <c r="AR14" s="169">
        <f t="shared" si="19"/>
        <v>0</v>
      </c>
    </row>
    <row r="15" spans="1:44" x14ac:dyDescent="0.3">
      <c r="A15">
        <v>7</v>
      </c>
      <c r="B15" s="45" t="s">
        <v>90</v>
      </c>
      <c r="C15" s="25" t="s">
        <v>85</v>
      </c>
      <c r="D15" s="25" t="s">
        <v>279</v>
      </c>
      <c r="E15" s="164">
        <f>'Reference VO 4RP'!N11</f>
        <v>46</v>
      </c>
      <c r="F15" s="34">
        <f>'Reference VO 4RP'!L11</f>
        <v>0</v>
      </c>
      <c r="G15" s="34">
        <f t="shared" si="9"/>
        <v>0</v>
      </c>
      <c r="H15" s="157">
        <f t="shared" si="21"/>
        <v>0</v>
      </c>
      <c r="I15" s="157">
        <f t="shared" ref="I15:I18" si="33">E15*H15</f>
        <v>0</v>
      </c>
      <c r="J15" s="246">
        <f>SUMIFS('Reference VO 4RP'!$G$5:$G$34,'Reference VO 4RP'!$B$5:$B$34,"Entry",'Reference VO 4RP'!$E$5:$E$34,$B15,'Reference VO 4RP'!$C$5:$C$34,J$6)</f>
        <v>0</v>
      </c>
      <c r="K15" s="246">
        <f>SUMIFS('Reference VO 4RP'!$G$5:$G$34,'Reference VO 4RP'!$B$5:$B$34,"Entry",'Reference VO 4RP'!$E$5:$E$34,$B15,'Reference VO 4RP'!$C$5:$C$34,K$6)</f>
        <v>0</v>
      </c>
      <c r="L15" s="38">
        <f t="shared" si="0"/>
        <v>0.98053176374372542</v>
      </c>
      <c r="M15" s="254">
        <f>'Reference VO 4RP'!O11</f>
        <v>0.77</v>
      </c>
      <c r="N15" s="255">
        <f>'Reference VO 4RP'!P11</f>
        <v>0</v>
      </c>
      <c r="O15" s="39"/>
      <c r="P15" s="38">
        <v>1</v>
      </c>
      <c r="Q15" s="157">
        <f t="shared" si="10"/>
        <v>0.87146352643606106</v>
      </c>
      <c r="R15" s="158">
        <f t="shared" si="11"/>
        <v>1</v>
      </c>
      <c r="S15" s="157">
        <f t="shared" si="12"/>
        <v>0.84700000000000009</v>
      </c>
      <c r="T15" s="38">
        <f>1-discount_DZK</f>
        <v>0.9</v>
      </c>
      <c r="U15" s="164">
        <f t="shared" si="13"/>
        <v>0.78431717379245502</v>
      </c>
      <c r="V15" s="158">
        <f t="shared" si="23"/>
        <v>1</v>
      </c>
      <c r="W15" s="157">
        <f>S15*(1-discount_DZK)</f>
        <v>0.76230000000000009</v>
      </c>
      <c r="X15" s="203">
        <f t="shared" si="1"/>
        <v>0.84700000000000009</v>
      </c>
      <c r="Y15" s="204">
        <f t="shared" si="14"/>
        <v>0.76230000000000009</v>
      </c>
      <c r="Z15" s="158">
        <f t="shared" si="2"/>
        <v>0</v>
      </c>
      <c r="AA15" s="158">
        <f t="shared" si="24"/>
        <v>1</v>
      </c>
      <c r="AB15" s="172">
        <f t="shared" si="3"/>
        <v>0.84700000000000009</v>
      </c>
      <c r="AC15" s="158">
        <f t="shared" si="4"/>
        <v>0</v>
      </c>
      <c r="AD15" s="158">
        <f t="shared" si="25"/>
        <v>1</v>
      </c>
      <c r="AE15" s="172">
        <f t="shared" si="15"/>
        <v>0.76230000000000009</v>
      </c>
      <c r="AF15" s="211">
        <f t="shared" si="5"/>
        <v>0.84700000000000009</v>
      </c>
      <c r="AG15" s="213">
        <f t="shared" si="26"/>
        <v>0.76230000000000009</v>
      </c>
      <c r="AH15" s="158">
        <f t="shared" si="16"/>
        <v>0</v>
      </c>
      <c r="AI15" s="158">
        <f t="shared" si="17"/>
        <v>1</v>
      </c>
      <c r="AJ15" s="172">
        <f t="shared" si="6"/>
        <v>0.84700000000000009</v>
      </c>
      <c r="AK15" s="158">
        <f t="shared" si="7"/>
        <v>1</v>
      </c>
      <c r="AL15" s="158">
        <f t="shared" si="27"/>
        <v>1</v>
      </c>
      <c r="AM15" s="172">
        <f t="shared" si="28"/>
        <v>0.76230000000000009</v>
      </c>
      <c r="AN15" s="211">
        <f t="shared" si="8"/>
        <v>0.84700000000000009</v>
      </c>
      <c r="AO15" s="213">
        <f t="shared" si="29"/>
        <v>0.76230000000000009</v>
      </c>
      <c r="AP15" s="216"/>
      <c r="AQ15" s="169">
        <f t="shared" si="18"/>
        <v>0.84700000000000009</v>
      </c>
      <c r="AR15" s="169">
        <f t="shared" si="19"/>
        <v>0.76230000000000009</v>
      </c>
    </row>
    <row r="16" spans="1:44" x14ac:dyDescent="0.3">
      <c r="A16">
        <v>8</v>
      </c>
      <c r="B16" t="s">
        <v>73</v>
      </c>
      <c r="C16" s="25" t="s">
        <v>85</v>
      </c>
      <c r="D16" s="25" t="s">
        <v>279</v>
      </c>
      <c r="E16" s="164">
        <f>'Reference VO 4RP'!N12</f>
        <v>238</v>
      </c>
      <c r="F16" s="34">
        <v>1</v>
      </c>
      <c r="G16" s="34">
        <f t="shared" si="9"/>
        <v>238</v>
      </c>
      <c r="H16" s="157">
        <f t="shared" ref="H16:H18" si="34">F16/SUM($F$9:$F$18)</f>
        <v>6.902280617050083E-9</v>
      </c>
      <c r="I16" s="157">
        <f t="shared" si="33"/>
        <v>1.6427427868579198E-6</v>
      </c>
      <c r="J16" s="246">
        <f>SUMIFS('Reference VO 4RP'!$G$5:$G$34,'Reference VO 4RP'!$B$5:$B$34,"Entry",'Reference VO 4RP'!$E$5:$E$34,$B16,'Reference VO 4RP'!$C$5:$C$34,J$6)</f>
        <v>0</v>
      </c>
      <c r="K16" s="246">
        <f>SUMIFS('Reference VO 4RP'!$G$5:$G$34,'Reference VO 4RP'!$B$5:$B$34,"Entry",'Reference VO 4RP'!$E$5:$E$34,$B16,'Reference VO 4RP'!$C$5:$C$34,K$6)</f>
        <v>0</v>
      </c>
      <c r="L16" s="38">
        <f t="shared" si="0"/>
        <v>0.98053176374372542</v>
      </c>
      <c r="M16" s="254">
        <f>'Reference VO 4RP'!O12</f>
        <v>1.1000000000000001</v>
      </c>
      <c r="N16" s="255">
        <f>'Reference VO 4RP'!P12</f>
        <v>0</v>
      </c>
      <c r="O16" s="39"/>
      <c r="P16" s="38">
        <v>1</v>
      </c>
      <c r="Q16" s="157">
        <f t="shared" si="10"/>
        <v>0.87146352643606106</v>
      </c>
      <c r="R16" s="158">
        <f t="shared" si="11"/>
        <v>0</v>
      </c>
      <c r="S16" s="157">
        <f t="shared" si="12"/>
        <v>0.87146352643606106</v>
      </c>
      <c r="T16" s="38">
        <f>1-discount_DZK</f>
        <v>0.9</v>
      </c>
      <c r="U16" s="164">
        <f t="shared" si="13"/>
        <v>0.78431717379245502</v>
      </c>
      <c r="V16" s="158">
        <f t="shared" si="23"/>
        <v>0</v>
      </c>
      <c r="W16" s="157">
        <f t="shared" si="30"/>
        <v>0.78431717379245502</v>
      </c>
      <c r="X16" s="203">
        <f t="shared" si="1"/>
        <v>0.97271069827451717</v>
      </c>
      <c r="Y16" s="204">
        <f t="shared" si="14"/>
        <v>0.87543962844706547</v>
      </c>
      <c r="Z16" s="158">
        <f>IF(M16=0,0,IF(X16&gt;(1+max_increase)*$M16,1,0))</f>
        <v>0</v>
      </c>
      <c r="AA16" s="158">
        <f>IF(Z16+R16&gt;0,1,0)</f>
        <v>0</v>
      </c>
      <c r="AB16" s="172">
        <f t="shared" si="3"/>
        <v>0.97271069827451717</v>
      </c>
      <c r="AC16" s="158">
        <f t="shared" si="4"/>
        <v>0</v>
      </c>
      <c r="AD16" s="158">
        <f>AA16</f>
        <v>0</v>
      </c>
      <c r="AE16" s="172">
        <f t="shared" si="15"/>
        <v>0.87543962844706547</v>
      </c>
      <c r="AF16" s="211">
        <f t="shared" si="5"/>
        <v>0.97271069827451717</v>
      </c>
      <c r="AG16" s="213">
        <f t="shared" si="26"/>
        <v>0.87543962844706547</v>
      </c>
      <c r="AH16" s="158">
        <f t="shared" si="16"/>
        <v>0</v>
      </c>
      <c r="AI16" s="158">
        <f t="shared" si="17"/>
        <v>0</v>
      </c>
      <c r="AJ16" s="172">
        <f t="shared" si="6"/>
        <v>0.97271069827451717</v>
      </c>
      <c r="AK16" s="158">
        <f t="shared" si="7"/>
        <v>0</v>
      </c>
      <c r="AL16" s="158">
        <f t="shared" si="27"/>
        <v>0</v>
      </c>
      <c r="AM16" s="172">
        <f t="shared" si="28"/>
        <v>0.87543962844706547</v>
      </c>
      <c r="AN16" s="211">
        <f t="shared" si="8"/>
        <v>0.97271069827451717</v>
      </c>
      <c r="AO16" s="213">
        <f t="shared" si="29"/>
        <v>0.87543962844706547</v>
      </c>
      <c r="AP16" s="216"/>
      <c r="AQ16" s="169">
        <f t="shared" si="18"/>
        <v>0.97271069827451717</v>
      </c>
      <c r="AR16" s="169">
        <f t="shared" si="19"/>
        <v>0.87543962844706547</v>
      </c>
    </row>
    <row r="17" spans="1:44" x14ac:dyDescent="0.3">
      <c r="A17">
        <v>9</v>
      </c>
      <c r="B17" t="s">
        <v>74</v>
      </c>
      <c r="C17" s="25" t="s">
        <v>85</v>
      </c>
      <c r="D17" s="25" t="s">
        <v>279</v>
      </c>
      <c r="E17" s="164">
        <f>'Reference VO 4RP'!N13</f>
        <v>36</v>
      </c>
      <c r="F17" s="34">
        <f>'Reference VO 4RP'!L13</f>
        <v>0</v>
      </c>
      <c r="G17" s="34">
        <f t="shared" si="9"/>
        <v>0</v>
      </c>
      <c r="H17" s="157">
        <f t="shared" si="34"/>
        <v>0</v>
      </c>
      <c r="I17" s="157">
        <f t="shared" ref="I17" si="35">E17*H17</f>
        <v>0</v>
      </c>
      <c r="J17" s="246">
        <f>SUMIFS('Reference VO 4RP'!$G$5:$G$34,'Reference VO 4RP'!$B$5:$B$34,"Entry",'Reference VO 4RP'!$E$5:$E$34,$B17,'Reference VO 4RP'!$C$5:$C$34,J$6)</f>
        <v>0</v>
      </c>
      <c r="K17" s="246">
        <f>SUMIFS('Reference VO 4RP'!$G$5:$G$34,'Reference VO 4RP'!$B$5:$B$34,"Entry",'Reference VO 4RP'!$E$5:$E$34,$B17,'Reference VO 4RP'!$C$5:$C$34,K$6)</f>
        <v>0</v>
      </c>
      <c r="L17" s="38">
        <f t="shared" si="0"/>
        <v>0.98053176374372542</v>
      </c>
      <c r="M17" s="254">
        <f>'Reference VO 4RP'!O13</f>
        <v>0.77</v>
      </c>
      <c r="N17" s="255">
        <f>'Reference VO 4RP'!P13</f>
        <v>0</v>
      </c>
      <c r="O17" s="39"/>
      <c r="P17" s="38">
        <v>1</v>
      </c>
      <c r="Q17" s="157">
        <f t="shared" si="10"/>
        <v>0.87146352643606106</v>
      </c>
      <c r="R17" s="158">
        <f t="shared" si="11"/>
        <v>1</v>
      </c>
      <c r="S17" s="157">
        <f t="shared" si="12"/>
        <v>0.84700000000000009</v>
      </c>
      <c r="T17" s="38">
        <f>1-discount_DZK</f>
        <v>0.9</v>
      </c>
      <c r="U17" s="164">
        <f t="shared" si="13"/>
        <v>0.78431717379245502</v>
      </c>
      <c r="V17" s="158">
        <f t="shared" si="23"/>
        <v>1</v>
      </c>
      <c r="W17" s="157">
        <f t="shared" si="30"/>
        <v>0.76230000000000009</v>
      </c>
      <c r="X17" s="203">
        <f t="shared" si="1"/>
        <v>0.84700000000000009</v>
      </c>
      <c r="Y17" s="204">
        <f t="shared" si="14"/>
        <v>0.76230000000000009</v>
      </c>
      <c r="Z17" s="158">
        <f t="shared" si="2"/>
        <v>0</v>
      </c>
      <c r="AA17" s="158">
        <f t="shared" si="24"/>
        <v>1</v>
      </c>
      <c r="AB17" s="172">
        <f t="shared" si="3"/>
        <v>0.84700000000000009</v>
      </c>
      <c r="AC17" s="158">
        <f t="shared" si="4"/>
        <v>0</v>
      </c>
      <c r="AD17" s="158">
        <f t="shared" si="25"/>
        <v>1</v>
      </c>
      <c r="AE17" s="172">
        <f t="shared" si="15"/>
        <v>0.76230000000000009</v>
      </c>
      <c r="AF17" s="211">
        <f t="shared" si="5"/>
        <v>0.84700000000000009</v>
      </c>
      <c r="AG17" s="213">
        <f t="shared" si="26"/>
        <v>0.76230000000000009</v>
      </c>
      <c r="AH17" s="158">
        <f t="shared" si="16"/>
        <v>0</v>
      </c>
      <c r="AI17" s="158">
        <f t="shared" si="17"/>
        <v>1</v>
      </c>
      <c r="AJ17" s="172">
        <f t="shared" si="6"/>
        <v>0.84700000000000009</v>
      </c>
      <c r="AK17" s="158">
        <f t="shared" si="7"/>
        <v>1</v>
      </c>
      <c r="AL17" s="158">
        <f t="shared" si="27"/>
        <v>1</v>
      </c>
      <c r="AM17" s="172">
        <f t="shared" si="28"/>
        <v>0.76230000000000009</v>
      </c>
      <c r="AN17" s="211">
        <f t="shared" si="8"/>
        <v>0.84700000000000009</v>
      </c>
      <c r="AO17" s="213">
        <f t="shared" si="29"/>
        <v>0.76230000000000009</v>
      </c>
      <c r="AP17" s="216"/>
      <c r="AQ17" s="169">
        <f t="shared" si="18"/>
        <v>0.84700000000000009</v>
      </c>
      <c r="AR17" s="169">
        <f t="shared" si="19"/>
        <v>0.76230000000000009</v>
      </c>
    </row>
    <row r="18" spans="1:44" x14ac:dyDescent="0.3">
      <c r="A18">
        <v>10</v>
      </c>
      <c r="B18" t="s">
        <v>75</v>
      </c>
      <c r="C18" s="25" t="s">
        <v>85</v>
      </c>
      <c r="D18" s="25" t="s">
        <v>279</v>
      </c>
      <c r="E18" s="164">
        <f>'Reference VO 4RP'!N14</f>
        <v>37.275145170465059</v>
      </c>
      <c r="F18" s="34">
        <f>'Reference VO 4RP'!L14</f>
        <v>10848000</v>
      </c>
      <c r="G18" s="284">
        <f t="shared" si="9"/>
        <v>404360774.80920494</v>
      </c>
      <c r="H18" s="157">
        <f t="shared" si="34"/>
        <v>7.4875940133759297E-2</v>
      </c>
      <c r="I18" s="157">
        <f t="shared" si="33"/>
        <v>2.7910115382609288</v>
      </c>
      <c r="J18" s="246">
        <f>SUMIFS('Reference VO 4RP'!$G$5:$G$34,'Reference VO 4RP'!$B$5:$B$34,"Entry",'Reference VO 4RP'!$E$5:$E$34,$B18,'Reference VO 4RP'!$C$5:$C$34,J$6)</f>
        <v>10848000</v>
      </c>
      <c r="K18" s="246">
        <f>SUMIFS('Reference VO 4RP'!$G$5:$G$34,'Reference VO 4RP'!$B$5:$B$34,"Entry",'Reference VO 4RP'!$E$5:$E$34,$B18,'Reference VO 4RP'!$C$5:$C$34,K$6)</f>
        <v>0</v>
      </c>
      <c r="L18" s="38">
        <f t="shared" si="0"/>
        <v>0.98053176374372542</v>
      </c>
      <c r="M18" s="256">
        <f>'Reference VO 4RP'!O14</f>
        <v>0</v>
      </c>
      <c r="N18" s="257">
        <f>'Reference VO 4RP'!P14</f>
        <v>0</v>
      </c>
      <c r="O18" s="39"/>
      <c r="P18" s="38">
        <f>1-VG_discount</f>
        <v>0</v>
      </c>
      <c r="Q18" s="157">
        <f t="shared" si="10"/>
        <v>0</v>
      </c>
      <c r="R18" s="158">
        <f>IF(M18=0,0,IF(Q18&gt;(1+max_increase)*$M18,1,0))</f>
        <v>0</v>
      </c>
      <c r="S18" s="157">
        <f t="shared" si="12"/>
        <v>0</v>
      </c>
      <c r="T18" s="38">
        <f>1-discount_DZK</f>
        <v>0.9</v>
      </c>
      <c r="U18" s="164">
        <f t="shared" si="13"/>
        <v>0</v>
      </c>
      <c r="V18" s="158">
        <f t="shared" si="23"/>
        <v>0</v>
      </c>
      <c r="W18" s="157">
        <f t="shared" si="30"/>
        <v>0</v>
      </c>
      <c r="X18" s="203">
        <f t="shared" si="1"/>
        <v>0</v>
      </c>
      <c r="Y18" s="204">
        <f t="shared" si="14"/>
        <v>0</v>
      </c>
      <c r="Z18" s="158">
        <f t="shared" si="2"/>
        <v>0</v>
      </c>
      <c r="AA18" s="158">
        <f t="shared" si="24"/>
        <v>0</v>
      </c>
      <c r="AB18" s="172">
        <f t="shared" si="3"/>
        <v>0</v>
      </c>
      <c r="AC18" s="158">
        <f t="shared" si="4"/>
        <v>0</v>
      </c>
      <c r="AD18" s="158">
        <f t="shared" si="25"/>
        <v>0</v>
      </c>
      <c r="AE18" s="172">
        <f t="shared" si="15"/>
        <v>0</v>
      </c>
      <c r="AF18" s="211">
        <f t="shared" si="5"/>
        <v>0</v>
      </c>
      <c r="AG18" s="213">
        <f t="shared" si="26"/>
        <v>0</v>
      </c>
      <c r="AH18" s="158">
        <f>IF(U18=0,0,IF(AF18&gt;(1+max_increase)*$M18,1,0))</f>
        <v>0</v>
      </c>
      <c r="AI18" s="158">
        <f t="shared" si="17"/>
        <v>0</v>
      </c>
      <c r="AJ18" s="172">
        <f t="shared" si="6"/>
        <v>0</v>
      </c>
      <c r="AK18" s="158">
        <f t="shared" si="7"/>
        <v>0</v>
      </c>
      <c r="AL18" s="158">
        <f t="shared" si="27"/>
        <v>0</v>
      </c>
      <c r="AM18" s="172">
        <f t="shared" si="28"/>
        <v>0</v>
      </c>
      <c r="AN18" s="211">
        <f t="shared" si="8"/>
        <v>0</v>
      </c>
      <c r="AO18" s="213">
        <f t="shared" si="29"/>
        <v>0</v>
      </c>
      <c r="AP18" s="216"/>
      <c r="AQ18" s="169">
        <f t="shared" si="18"/>
        <v>0</v>
      </c>
      <c r="AR18" s="169">
        <f t="shared" si="19"/>
        <v>0</v>
      </c>
    </row>
    <row r="19" spans="1:44" x14ac:dyDescent="0.3">
      <c r="C19" s="39"/>
      <c r="D19" s="39"/>
      <c r="E19" s="39"/>
      <c r="F19" s="39"/>
      <c r="G19" s="34">
        <f>SUM(G9:G18)</f>
        <v>11279725984.759544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186" t="s">
        <v>177</v>
      </c>
      <c r="S19" s="189">
        <f>SUMPRODUCT(S9:S18,$J9:$J18)</f>
        <v>78970170.872982472</v>
      </c>
      <c r="T19" s="39"/>
      <c r="U19" s="39"/>
      <c r="V19" s="186"/>
      <c r="W19" s="189">
        <f>SUMPRODUCT(W9:W18,$K9:$K18)</f>
        <v>2995323.0655612713</v>
      </c>
      <c r="X19" s="205">
        <f>SUMPRODUCT(X9:X18,J9:J18)</f>
        <v>80088360.912224323</v>
      </c>
      <c r="Y19" s="206">
        <f>SUMPRODUCT(Y9:Y18,K9:K18)</f>
        <v>3301221.1458367985</v>
      </c>
      <c r="Z19" s="39"/>
      <c r="AA19" s="39"/>
      <c r="AB19" s="189">
        <f>SUMPRODUCT(AB9:AB18,$J9:$J18)</f>
        <v>80088360.912224323</v>
      </c>
      <c r="AC19" s="189"/>
      <c r="AD19" s="39"/>
      <c r="AE19" s="189">
        <f>SUMPRODUCT(AE9:AE18,$K$9:$K$18)</f>
        <v>3301221.1458367985</v>
      </c>
      <c r="AF19" s="205">
        <f>SUMPRODUCT(AF9:AF18,$J9:$J18)</f>
        <v>80088360.912224323</v>
      </c>
      <c r="AG19" s="206">
        <f>SUMPRODUCT(AG9:AG18,$K$9:$K$18)</f>
        <v>3301221.1458367985</v>
      </c>
      <c r="AH19" s="39"/>
      <c r="AI19" s="39"/>
      <c r="AJ19" s="189">
        <f>SUMPRODUCT(AJ9:AJ18,$J9:$J18)</f>
        <v>80088360.912224323</v>
      </c>
      <c r="AK19" s="189"/>
      <c r="AL19" s="39"/>
      <c r="AM19" s="189">
        <f>SUMPRODUCT(AM9:AM18,$K$9:$K$18)</f>
        <v>3301221.1458367985</v>
      </c>
      <c r="AN19" s="205">
        <f>SUMPRODUCT(AN9:AN18,$J9:$J18)</f>
        <v>80088360.912224323</v>
      </c>
      <c r="AO19" s="206">
        <f>SUMPRODUCT(AO9:AO18,$K$9:$K$18)</f>
        <v>3301221.1458367985</v>
      </c>
      <c r="AP19" s="217"/>
      <c r="AQ19" s="39"/>
      <c r="AR19" s="190"/>
    </row>
    <row r="20" spans="1:44" ht="15" thickBot="1" x14ac:dyDescent="0.35">
      <c r="A20" s="22" t="s">
        <v>62</v>
      </c>
      <c r="C20" s="185" t="s">
        <v>87</v>
      </c>
      <c r="D20" s="185"/>
      <c r="E20" s="185" t="s">
        <v>88</v>
      </c>
      <c r="F20" s="39"/>
      <c r="G20" s="39"/>
      <c r="H20" s="39"/>
      <c r="I20" s="39"/>
      <c r="J20" s="34"/>
      <c r="K20" s="34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4">
        <f>S19+W19-C27</f>
        <v>-21099291.193306431</v>
      </c>
      <c r="X20" s="207"/>
      <c r="Y20" s="208">
        <f>X19+Y19-$C$27</f>
        <v>-19675203.073789045</v>
      </c>
      <c r="Z20" s="39"/>
      <c r="AA20" s="39"/>
      <c r="AB20" s="34">
        <f>AE19+AB19-Y19-X19</f>
        <v>0</v>
      </c>
      <c r="AC20" s="39"/>
      <c r="AD20" s="39"/>
      <c r="AE20" s="39"/>
      <c r="AF20" s="207"/>
      <c r="AG20" s="208">
        <f>AF19+AG19-$C$27</f>
        <v>-19675203.073789045</v>
      </c>
      <c r="AH20" s="39"/>
      <c r="AI20" s="39"/>
      <c r="AJ20" s="34">
        <f>AM19+AJ19-AG19-AF19</f>
        <v>0</v>
      </c>
      <c r="AK20" s="39"/>
      <c r="AL20" s="39"/>
      <c r="AM20" s="39"/>
      <c r="AN20" s="207"/>
      <c r="AO20" s="208">
        <f>AN19+AO19-$C$27</f>
        <v>-19675203.073789045</v>
      </c>
      <c r="AP20" s="61"/>
      <c r="AQ20" s="34"/>
      <c r="AR20" s="39"/>
    </row>
    <row r="21" spans="1:44" ht="43.8" thickBot="1" x14ac:dyDescent="0.35">
      <c r="A21" s="24" t="s">
        <v>48</v>
      </c>
      <c r="B21" s="24" t="s">
        <v>114</v>
      </c>
      <c r="C21" s="32" t="s">
        <v>86</v>
      </c>
      <c r="D21" s="32"/>
      <c r="E21" s="24" t="s">
        <v>63</v>
      </c>
      <c r="F21" s="24" t="s">
        <v>64</v>
      </c>
      <c r="G21" s="24"/>
      <c r="H21" s="245" t="s">
        <v>53</v>
      </c>
      <c r="I21" s="245" t="s">
        <v>54</v>
      </c>
    </row>
    <row r="22" spans="1:44" ht="15" thickBot="1" x14ac:dyDescent="0.35">
      <c r="A22" s="39">
        <v>1</v>
      </c>
      <c r="B22" t="str">
        <f>C9</f>
        <v>Entry MG Ost</v>
      </c>
      <c r="C22" s="20">
        <f>+SUM($F$9:$F$18)</f>
        <v>144879650</v>
      </c>
      <c r="D22" s="20"/>
      <c r="E22" s="36">
        <f>+SUMPRODUCT($E$9:$E$18,$F$9:$F$18)/$C$22</f>
        <v>77.855834030241965</v>
      </c>
      <c r="F22" s="26">
        <f>E22/$E$22</f>
        <v>1</v>
      </c>
      <c r="G22" s="26"/>
      <c r="H22" s="246">
        <f>+SUM(J9:J18)</f>
        <v>112464383</v>
      </c>
      <c r="I22" s="246">
        <f>+SUM(K9:K18)</f>
        <v>3888334.77</v>
      </c>
      <c r="K22" s="250">
        <f>H22+I22</f>
        <v>116352717.77</v>
      </c>
      <c r="M22" s="29"/>
      <c r="N22" s="20"/>
      <c r="Q22" s="28"/>
      <c r="R22" s="28"/>
      <c r="X22" s="159"/>
    </row>
    <row r="23" spans="1:44" s="163" customFormat="1" x14ac:dyDescent="0.3">
      <c r="A23" s="193">
        <v>2</v>
      </c>
      <c r="B23" s="349" t="s">
        <v>279</v>
      </c>
      <c r="C23" s="350">
        <f>SUMIF($D$9:$D$18,B23,$F$9:$F$18)</f>
        <v>134655325</v>
      </c>
      <c r="D23" s="193"/>
      <c r="E23" s="351">
        <f>G23/C23</f>
        <v>76.340118259411909</v>
      </c>
      <c r="F23" s="38">
        <f>E23/$E$22</f>
        <v>0.98053176374372542</v>
      </c>
      <c r="G23" s="63">
        <f>SUMIFS($G$9:$G$18,$D$9:$D$18,B23)</f>
        <v>10279603434.759544</v>
      </c>
      <c r="H23" s="63"/>
      <c r="I23" s="63"/>
      <c r="J23" s="34"/>
      <c r="K23" s="251"/>
      <c r="M23" s="29"/>
      <c r="N23" s="20"/>
      <c r="Q23" s="28"/>
      <c r="R23" s="28"/>
      <c r="X23" s="159"/>
    </row>
    <row r="24" spans="1:44" s="163" customFormat="1" x14ac:dyDescent="0.3">
      <c r="A24" s="193">
        <v>4</v>
      </c>
      <c r="B24" s="349" t="s">
        <v>280</v>
      </c>
      <c r="C24" s="350">
        <f>SUMIF($D$9:$D$18,B24,$F$9:$F$18)</f>
        <v>10224325</v>
      </c>
      <c r="D24" s="193"/>
      <c r="E24" s="351">
        <f>G24/C24</f>
        <v>97.817953752448204</v>
      </c>
      <c r="F24" s="38">
        <f t="shared" ref="F24" si="36">E24/$E$22</f>
        <v>1.2563985084849549</v>
      </c>
      <c r="G24" s="63">
        <f>SUMIFS($G$9:$G$18,$D$9:$D$18,B24)</f>
        <v>1000122550</v>
      </c>
      <c r="H24" s="63"/>
      <c r="I24" s="63"/>
      <c r="J24" s="34"/>
      <c r="K24" s="251"/>
      <c r="M24" s="29"/>
      <c r="N24" s="20"/>
      <c r="Q24" s="28"/>
      <c r="R24" s="28"/>
      <c r="X24" s="159"/>
    </row>
    <row r="25" spans="1:44" x14ac:dyDescent="0.3">
      <c r="C25" s="30"/>
      <c r="D25" s="30"/>
      <c r="E25" s="34"/>
      <c r="F25" s="26"/>
      <c r="G25" s="34">
        <f>SUM(G23:G24)</f>
        <v>11279725984.759544</v>
      </c>
      <c r="H25" s="27"/>
      <c r="I25" s="27"/>
      <c r="M25" s="29"/>
      <c r="N25" s="20"/>
    </row>
    <row r="26" spans="1:44" x14ac:dyDescent="0.3">
      <c r="B26" s="18" t="s">
        <v>228</v>
      </c>
      <c r="C26" s="162">
        <f>SUM(I9:I18)/SUM(I9:I18,I34:I58)</f>
        <v>0.2545275829098817</v>
      </c>
      <c r="D26" s="162"/>
      <c r="E26" s="34"/>
      <c r="H26" s="27"/>
      <c r="I26" s="27"/>
      <c r="M26" s="29"/>
    </row>
    <row r="27" spans="1:44" x14ac:dyDescent="0.3">
      <c r="B27" s="18" t="s">
        <v>220</v>
      </c>
      <c r="C27" s="181">
        <f>EX_split_entry_theor*costs_capacity</f>
        <v>103064785.13185017</v>
      </c>
      <c r="D27" s="181"/>
      <c r="E27" s="34"/>
      <c r="H27" s="27"/>
      <c r="I27" s="27"/>
      <c r="M27" s="29"/>
    </row>
    <row r="28" spans="1:44" x14ac:dyDescent="0.3">
      <c r="A28" s="20"/>
      <c r="B28" s="18" t="s">
        <v>221</v>
      </c>
      <c r="C28" s="181">
        <f>EX_split_entry_theor*P3</f>
        <v>103064785.13185017</v>
      </c>
      <c r="D28" s="181"/>
      <c r="E28" s="30"/>
      <c r="J28" s="155"/>
      <c r="L28" s="26"/>
      <c r="M28" s="29"/>
    </row>
    <row r="29" spans="1:44" x14ac:dyDescent="0.3">
      <c r="A29" s="20"/>
      <c r="B29" s="18" t="s">
        <v>282</v>
      </c>
      <c r="C29" s="49">
        <f>C28/(F22*H22+F22*I22*(1-discount_DZK))</f>
        <v>0.888766237524794</v>
      </c>
      <c r="D29" s="49"/>
      <c r="F29" s="30"/>
      <c r="G29" s="30"/>
      <c r="L29" s="26"/>
      <c r="M29" s="29"/>
      <c r="N29" s="20"/>
    </row>
    <row r="30" spans="1:44" x14ac:dyDescent="0.3">
      <c r="A30" s="20"/>
      <c r="H30" s="72"/>
      <c r="L30" s="26"/>
      <c r="M30" s="39"/>
      <c r="N30" s="39"/>
      <c r="O30" s="176"/>
      <c r="P30" s="177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</row>
    <row r="31" spans="1:44" x14ac:dyDescent="0.3">
      <c r="B31" s="18"/>
      <c r="J31" s="47" t="s">
        <v>70</v>
      </c>
      <c r="K31" s="47" t="s">
        <v>71</v>
      </c>
      <c r="L31" s="26"/>
      <c r="N31" s="20"/>
    </row>
    <row r="32" spans="1:44" ht="15" thickBot="1" x14ac:dyDescent="0.35">
      <c r="A32" s="22" t="s">
        <v>107</v>
      </c>
      <c r="E32" s="35" t="s">
        <v>88</v>
      </c>
      <c r="F32" s="35" t="s">
        <v>87</v>
      </c>
      <c r="G32" s="35"/>
      <c r="I32" s="23"/>
      <c r="J32" s="48" t="s">
        <v>87</v>
      </c>
      <c r="K32" s="48" t="s">
        <v>87</v>
      </c>
      <c r="L32" s="39"/>
    </row>
    <row r="33" spans="1:44" ht="57.6" x14ac:dyDescent="0.3">
      <c r="A33" s="24" t="s">
        <v>48</v>
      </c>
      <c r="B33" s="24" t="s">
        <v>49</v>
      </c>
      <c r="C33" s="37" t="s">
        <v>50</v>
      </c>
      <c r="D33" s="37"/>
      <c r="E33" s="37" t="s">
        <v>115</v>
      </c>
      <c r="F33" s="37" t="s">
        <v>229</v>
      </c>
      <c r="G33" s="37"/>
      <c r="H33" s="37" t="s">
        <v>51</v>
      </c>
      <c r="I33" s="37" t="s">
        <v>52</v>
      </c>
      <c r="J33" s="247" t="s">
        <v>53</v>
      </c>
      <c r="K33" s="247" t="s">
        <v>54</v>
      </c>
      <c r="L33" s="37" t="s">
        <v>89</v>
      </c>
      <c r="M33" s="37" t="s">
        <v>230</v>
      </c>
      <c r="N33" s="37" t="s">
        <v>231</v>
      </c>
      <c r="O33" s="39"/>
      <c r="P33" s="33" t="str">
        <f t="shared" ref="P33:AO33" si="37">P8</f>
        <v>Correction factor FZK</v>
      </c>
      <c r="Q33" s="33" t="str">
        <f t="shared" si="37"/>
        <v>Theor. tariff FZK</v>
      </c>
      <c r="R33" s="33" t="str">
        <f t="shared" si="37"/>
        <v>FZK tariff capped?</v>
      </c>
      <c r="S33" s="33" t="str">
        <f t="shared" si="37"/>
        <v>Capped unscaled tariff FZK</v>
      </c>
      <c r="T33" s="33" t="str">
        <f t="shared" si="37"/>
        <v>Correction factor DZK entry</v>
      </c>
      <c r="U33" s="33" t="str">
        <f t="shared" si="37"/>
        <v>Theor. tariff DZK</v>
      </c>
      <c r="V33" s="33" t="str">
        <f t="shared" si="37"/>
        <v>DZK tariff capped?</v>
      </c>
      <c r="W33" s="33" t="str">
        <f t="shared" si="37"/>
        <v>Capped unscaled tariff DZK</v>
      </c>
      <c r="X33" s="201" t="str">
        <f t="shared" si="37"/>
        <v>Rescaled tariff FZK</v>
      </c>
      <c r="Y33" s="202" t="str">
        <f t="shared" si="37"/>
        <v>Rescaled tariff DZK</v>
      </c>
      <c r="Z33" s="33" t="str">
        <f t="shared" si="37"/>
        <v>FZK cap exceeded new?</v>
      </c>
      <c r="AA33" s="33" t="str">
        <f t="shared" si="37"/>
        <v>Rescaling non-permissible</v>
      </c>
      <c r="AB33" s="33" t="str">
        <f t="shared" si="37"/>
        <v>Recapped rescaled tariff FZK</v>
      </c>
      <c r="AC33" s="33" t="str">
        <f t="shared" si="37"/>
        <v>DZK cap exceeded new?</v>
      </c>
      <c r="AD33" s="33" t="str">
        <f t="shared" si="37"/>
        <v>Rescaling non-permissible</v>
      </c>
      <c r="AE33" s="33" t="str">
        <f t="shared" si="37"/>
        <v>Recapped rescaled tariff DZK</v>
      </c>
      <c r="AF33" s="201" t="str">
        <f t="shared" si="37"/>
        <v>Step 2 rescaled tariff FZK</v>
      </c>
      <c r="AG33" s="202" t="str">
        <f t="shared" si="37"/>
        <v>Step 2 rescaled tariff DZK</v>
      </c>
      <c r="AH33" s="33" t="str">
        <f t="shared" si="37"/>
        <v>FZK cap exceeded new?</v>
      </c>
      <c r="AI33" s="33" t="str">
        <f t="shared" si="37"/>
        <v>Rescaling non-permissible</v>
      </c>
      <c r="AJ33" s="33" t="str">
        <f t="shared" si="37"/>
        <v>Recapped re-rescaled tariff FZK</v>
      </c>
      <c r="AK33" s="33" t="str">
        <f t="shared" si="37"/>
        <v>DZK cap exceeded new?</v>
      </c>
      <c r="AL33" s="33" t="str">
        <f t="shared" si="37"/>
        <v>Rescaling non-permissible</v>
      </c>
      <c r="AM33" s="33" t="str">
        <f t="shared" si="37"/>
        <v>Recapped re-rescaled tariff DZK</v>
      </c>
      <c r="AN33" s="201" t="str">
        <f t="shared" si="37"/>
        <v>Step 3 rescaled tariff FZK</v>
      </c>
      <c r="AO33" s="202" t="str">
        <f t="shared" si="37"/>
        <v>Step 3 rescaled tariff DZK</v>
      </c>
      <c r="AP33" s="33"/>
      <c r="AQ33" s="33" t="str">
        <f>AQ8</f>
        <v xml:space="preserve">ICT FZK </v>
      </c>
      <c r="AR33" s="33" t="str">
        <f>AR8</f>
        <v>ICT DZK</v>
      </c>
    </row>
    <row r="34" spans="1:44" x14ac:dyDescent="0.3">
      <c r="A34">
        <f>1</f>
        <v>1</v>
      </c>
      <c r="B34" t="s">
        <v>56</v>
      </c>
      <c r="C34" s="39" t="s">
        <v>83</v>
      </c>
      <c r="D34" s="39"/>
      <c r="E34" s="60">
        <f>'Reference VO 4RP'!N15</f>
        <v>381.59447</v>
      </c>
      <c r="F34" s="61">
        <f>'Reference VO 4RP'!L15</f>
        <v>50014969</v>
      </c>
      <c r="G34" s="61"/>
      <c r="H34" s="157">
        <f>F34/SUM($F$34:$F$58)</f>
        <v>0.38229222975790245</v>
      </c>
      <c r="I34" s="157">
        <f>E34*H34</f>
        <v>145.88060079958501</v>
      </c>
      <c r="J34" s="246">
        <f>SUMIFS('Reference VO 4RP'!$G$5:$G$34,'Reference VO 4RP'!$B$5:$B$34,"Exit",'Reference VO 4RP'!$E$5:$E$34,$B34,'Reference VO 4RP'!$C$5:$C$34,J$6)</f>
        <v>48558893.100000009</v>
      </c>
      <c r="K34" s="246">
        <f>SUMIFS('Reference VO 4RP'!$G$5:$G$34,'Reference VO 4RP'!$B$5:$B$34,"Exit",'Reference VO 4RP'!$E$5:$E$34,$B34,'Reference VO 4RP'!$C$5:$C$34,K$6)</f>
        <v>0</v>
      </c>
      <c r="L34" s="38">
        <f>SUMIF($B$64:$B$70,C34,$F$64:$F$70)</f>
        <v>1</v>
      </c>
      <c r="M34" s="164">
        <f>'Reference VO 4RP'!O15</f>
        <v>4.63</v>
      </c>
      <c r="N34" s="164">
        <f>'Reference VO 4RP'!P15</f>
        <v>0</v>
      </c>
      <c r="O34" s="39"/>
      <c r="P34" s="38">
        <v>1</v>
      </c>
      <c r="Q34" s="157">
        <f>P34*$L34*$C$75</f>
        <v>3.8930429869561496</v>
      </c>
      <c r="R34" s="158">
        <f>IF(M34=0,0,IF(Q34&gt;(1+max_increase)*$M34,1,0))</f>
        <v>0</v>
      </c>
      <c r="S34" s="157">
        <f>(1-R34)*Q34+R34*(1+max_increase)*M34</f>
        <v>3.8930429869561496</v>
      </c>
      <c r="T34" s="38">
        <f t="shared" ref="T34:T58" si="38">1-discount_DZK</f>
        <v>0.9</v>
      </c>
      <c r="U34" s="164">
        <f t="shared" ref="U34:U58" si="39">Q34*T34</f>
        <v>3.5037386882605346</v>
      </c>
      <c r="V34" s="158">
        <f>R34</f>
        <v>0</v>
      </c>
      <c r="W34" s="157">
        <f t="shared" ref="W34:W58" si="40">S34*(1-discount_DZK)</f>
        <v>3.5037386882605346</v>
      </c>
      <c r="X34" s="220">
        <f>((1-R34)*$U$65+R34)*S34</f>
        <v>4.3453391305329223</v>
      </c>
      <c r="Y34" s="221">
        <f>X34*T34</f>
        <v>3.9108052174796302</v>
      </c>
      <c r="Z34" s="158">
        <f t="shared" ref="Z34:Z58" si="41">IF(M34=0,0,IF(X34&gt;(1+max_increase)*$M34,1,0))</f>
        <v>0</v>
      </c>
      <c r="AA34" s="158">
        <f>IF(Z34+R34&gt;0,1,0)</f>
        <v>0</v>
      </c>
      <c r="AB34" s="172">
        <f t="shared" ref="AB34:AB58" si="42">IF(Z34=1,M34*(1+max_increase),X34)</f>
        <v>4.3453391305329223</v>
      </c>
      <c r="AC34" s="158">
        <f t="shared" ref="AC34:AC58" si="43">IF(N34=0,0,IF(Y34&gt;(1+max_increase)*$N34,1,0))</f>
        <v>0</v>
      </c>
      <c r="AD34" s="158">
        <f>AA34</f>
        <v>0</v>
      </c>
      <c r="AE34" s="172">
        <f>AB34*T34</f>
        <v>3.9108052174796302</v>
      </c>
      <c r="AF34" s="211">
        <f>IF(AD34=0,AB34*$AD$65,M34*(1+max_increase))</f>
        <v>4.3453391305329223</v>
      </c>
      <c r="AG34" s="213">
        <f>AF34*T34</f>
        <v>3.9108052174796302</v>
      </c>
      <c r="AH34" s="158">
        <f t="shared" ref="AH34:AH58" si="44">IF(U34=0,0,IF(AF34&gt;(1+max_increase)*$M34,1,0))</f>
        <v>0</v>
      </c>
      <c r="AI34" s="158">
        <f>IF(AH34+Z34&gt;0,1,0)</f>
        <v>0</v>
      </c>
      <c r="AJ34" s="172">
        <f t="shared" ref="AJ34:AJ58" si="45">IF(AH34=1,U34*(1+max_increase),AF34)</f>
        <v>4.3453391305329223</v>
      </c>
      <c r="AK34" s="158">
        <f>IF(V34=0,0,IF(AG34&gt;(1+max_increase)*$N34,1,0))</f>
        <v>0</v>
      </c>
      <c r="AL34" s="158">
        <f>AI34</f>
        <v>0</v>
      </c>
      <c r="AM34" s="172">
        <f>AJ34*T34</f>
        <v>3.9108052174796302</v>
      </c>
      <c r="AN34" s="211">
        <f t="shared" ref="AN34:AN58" si="46">IF(AL34=0,AJ34*$AL$65,M34*(1+max_increase))</f>
        <v>4.3453391305329223</v>
      </c>
      <c r="AO34" s="213">
        <f>AN34*T34</f>
        <v>3.9108052174796302</v>
      </c>
      <c r="AP34" s="173"/>
      <c r="AQ34" s="169">
        <f>IFERROR(MAX(AN34,0),0)</f>
        <v>4.3453391305329223</v>
      </c>
      <c r="AR34" s="169">
        <f>IFERROR(MAX(AO34,0),0)</f>
        <v>3.9108052174796302</v>
      </c>
    </row>
    <row r="35" spans="1:44" x14ac:dyDescent="0.3">
      <c r="A35">
        <f>A34+1</f>
        <v>2</v>
      </c>
      <c r="B35" s="45" t="s">
        <v>58</v>
      </c>
      <c r="C35" s="41" t="s">
        <v>77</v>
      </c>
      <c r="D35" s="41"/>
      <c r="E35" s="60">
        <f>E38</f>
        <v>242</v>
      </c>
      <c r="F35" s="61">
        <f>'Reference VO 4RP'!L16</f>
        <v>10272000</v>
      </c>
      <c r="G35" s="61"/>
      <c r="H35" s="157">
        <f>F35/SUM($F$34:$F$58)</f>
        <v>7.8514609977528405E-2</v>
      </c>
      <c r="I35" s="157">
        <f t="shared" ref="I35:I58" si="47">E35*H35</f>
        <v>19.000535614561873</v>
      </c>
      <c r="J35" s="246">
        <f>SUMIFS('Reference VO 4RP'!$G$5:$G$34,'Reference VO 4RP'!$B$5:$B$34,"Exit",'Reference VO 4RP'!$E$5:$E$34,$B35,'Reference VO 4RP'!$C$5:$C$34,J$6)</f>
        <v>5436471.2699999996</v>
      </c>
      <c r="K35" s="246">
        <f>SUMIFS('Reference VO 4RP'!$G$5:$G$34,'Reference VO 4RP'!$B$5:$B$34,"Exit",'Reference VO 4RP'!$E$5:$E$34,$B35,'Reference VO 4RP'!$C$5:$C$34,K$6)</f>
        <v>0</v>
      </c>
      <c r="L35" s="38">
        <f>SUMIF($B$64:$B$70,C35,$F$64:$F$70)</f>
        <v>0.41581601924538891</v>
      </c>
      <c r="M35" s="164">
        <f>'Reference VO 4RP'!O16</f>
        <v>1.1200000000000001</v>
      </c>
      <c r="N35" s="164">
        <f>'Reference VO 4RP'!P16</f>
        <v>0</v>
      </c>
      <c r="O35" s="39"/>
      <c r="P35" s="38">
        <v>1</v>
      </c>
      <c r="Q35" s="157">
        <f t="shared" ref="Q35:Q58" si="48">P35*$L35*$C$75</f>
        <v>1.6187896375872846</v>
      </c>
      <c r="R35" s="158">
        <f>IF(M35=0,0,IF(Q35&gt;(1+max_increase)*$M35,1,0))</f>
        <v>1</v>
      </c>
      <c r="S35" s="157">
        <f>(1-R35)*Q35+R35*(1+max_increase)*M35</f>
        <v>1.2320000000000002</v>
      </c>
      <c r="T35" s="38">
        <f t="shared" si="38"/>
        <v>0.9</v>
      </c>
      <c r="U35" s="164">
        <f t="shared" si="39"/>
        <v>1.4569106738285562</v>
      </c>
      <c r="V35" s="158">
        <f t="shared" ref="V35:V58" si="49">R35</f>
        <v>1</v>
      </c>
      <c r="W35" s="157">
        <f>S35*(1-discount_DZK)</f>
        <v>1.1088000000000002</v>
      </c>
      <c r="X35" s="220">
        <f>((1-R35)*$U$65+R35)*S35</f>
        <v>1.2320000000000002</v>
      </c>
      <c r="Y35" s="221">
        <f t="shared" ref="Y35:Y58" si="50">X35*T35</f>
        <v>1.1088000000000002</v>
      </c>
      <c r="Z35" s="158">
        <f t="shared" si="41"/>
        <v>0</v>
      </c>
      <c r="AA35" s="158">
        <f t="shared" ref="AA35:AA58" si="51">IF(Z35+R35&gt;0,1,0)</f>
        <v>1</v>
      </c>
      <c r="AB35" s="172">
        <f t="shared" si="42"/>
        <v>1.2320000000000002</v>
      </c>
      <c r="AC35" s="158">
        <f t="shared" si="43"/>
        <v>0</v>
      </c>
      <c r="AD35" s="158">
        <f t="shared" ref="AD35:AD58" si="52">AA35</f>
        <v>1</v>
      </c>
      <c r="AE35" s="172">
        <f t="shared" ref="AE35:AE58" si="53">AB35*T35</f>
        <v>1.1088000000000002</v>
      </c>
      <c r="AF35" s="211">
        <f>IF(AD35=0,AB35*$AD$65,M35*(1+max_increase))</f>
        <v>1.2320000000000002</v>
      </c>
      <c r="AG35" s="213">
        <f>AF35*T35</f>
        <v>1.1088000000000002</v>
      </c>
      <c r="AH35" s="158">
        <f t="shared" si="44"/>
        <v>0</v>
      </c>
      <c r="AI35" s="158">
        <f t="shared" ref="AI35:AI58" si="54">IF(AH35+Z35&gt;0,1,0)</f>
        <v>0</v>
      </c>
      <c r="AJ35" s="172">
        <f t="shared" si="45"/>
        <v>1.2320000000000002</v>
      </c>
      <c r="AK35" s="158">
        <f>IF(V35=0,0,IF(AG35&gt;(1+max_increase)*$N35,1,0))</f>
        <v>1</v>
      </c>
      <c r="AL35" s="158">
        <f t="shared" ref="AL35:AL58" si="55">AI35</f>
        <v>0</v>
      </c>
      <c r="AM35" s="172">
        <f>AJ35*T35</f>
        <v>1.1088000000000002</v>
      </c>
      <c r="AN35" s="211">
        <f t="shared" si="46"/>
        <v>1.2320000000000002</v>
      </c>
      <c r="AO35" s="213">
        <f t="shared" ref="AO35:AO58" si="56">AN35*T35</f>
        <v>1.1088000000000002</v>
      </c>
      <c r="AP35" s="173"/>
      <c r="AQ35" s="169">
        <f t="shared" ref="AQ35:AQ58" si="57">IFERROR(MAX(AN35,0),0)</f>
        <v>1.2320000000000002</v>
      </c>
      <c r="AR35" s="169">
        <f t="shared" ref="AR35:AR58" si="58">IFERROR(MAX(AO35,0),0)</f>
        <v>1.1088000000000002</v>
      </c>
    </row>
    <row r="36" spans="1:44" x14ac:dyDescent="0.3">
      <c r="A36">
        <f>A35+1</f>
        <v>3</v>
      </c>
      <c r="B36" s="45" t="s">
        <v>90</v>
      </c>
      <c r="C36" s="41" t="s">
        <v>77</v>
      </c>
      <c r="D36" s="41"/>
      <c r="E36" s="60">
        <f>'Reference VO 4RP'!N17</f>
        <v>46</v>
      </c>
      <c r="F36" s="61">
        <f>'Reference VO 4RP'!L17</f>
        <v>6378300</v>
      </c>
      <c r="G36" s="61"/>
      <c r="H36" s="157">
        <f t="shared" ref="H36:H58" si="59">F36/SUM($F$34:$F$58)</f>
        <v>4.8752894939609562E-2</v>
      </c>
      <c r="I36" s="157">
        <f t="shared" si="47"/>
        <v>2.2426331672220399</v>
      </c>
      <c r="J36" s="246">
        <f>SUMIFS('Reference VO 4RP'!$G$5:$G$34,'Reference VO 4RP'!$B$5:$B$34,"Exit",'Reference VO 4RP'!$E$5:$E$34,$B36,'Reference VO 4RP'!$C$5:$C$34,J$6)</f>
        <v>6378300</v>
      </c>
      <c r="K36" s="246">
        <f>SUMIFS('Reference VO 4RP'!$G$5:$G$34,'Reference VO 4RP'!$B$5:$B$34,"Exit",'Reference VO 4RP'!$E$5:$E$34,$B36,'Reference VO 4RP'!$C$5:$C$34,K$6)</f>
        <v>0</v>
      </c>
      <c r="L36" s="38">
        <f t="shared" ref="L36:L58" si="60">SUMIF($B$64:$B$70,C36,$F$64:$F$70)</f>
        <v>0.41581601924538891</v>
      </c>
      <c r="M36" s="164">
        <f>'Reference VO 4RP'!O17</f>
        <v>1.1200000000000001</v>
      </c>
      <c r="N36" s="164">
        <f>'Reference VO 4RP'!P17</f>
        <v>0</v>
      </c>
      <c r="O36" s="39"/>
      <c r="P36" s="38">
        <v>1</v>
      </c>
      <c r="Q36" s="157">
        <f t="shared" si="48"/>
        <v>1.6187896375872846</v>
      </c>
      <c r="R36" s="158">
        <f>IF(M36=0,0,IF(Q36&gt;(1+max_increase)*$M36,1,0))</f>
        <v>1</v>
      </c>
      <c r="S36" s="157">
        <f>(1-R36)*Q36+R36*(1+max_increase)*M36</f>
        <v>1.2320000000000002</v>
      </c>
      <c r="T36" s="38">
        <f t="shared" si="38"/>
        <v>0.9</v>
      </c>
      <c r="U36" s="164">
        <f t="shared" si="39"/>
        <v>1.4569106738285562</v>
      </c>
      <c r="V36" s="158">
        <f t="shared" si="49"/>
        <v>1</v>
      </c>
      <c r="W36" s="157">
        <f t="shared" si="40"/>
        <v>1.1088000000000002</v>
      </c>
      <c r="X36" s="220">
        <f>((1-R36)*$U$65+R36)*S36</f>
        <v>1.2320000000000002</v>
      </c>
      <c r="Y36" s="221">
        <f t="shared" si="50"/>
        <v>1.1088000000000002</v>
      </c>
      <c r="Z36" s="158">
        <f t="shared" si="41"/>
        <v>0</v>
      </c>
      <c r="AA36" s="158">
        <f t="shared" si="51"/>
        <v>1</v>
      </c>
      <c r="AB36" s="172">
        <f t="shared" si="42"/>
        <v>1.2320000000000002</v>
      </c>
      <c r="AC36" s="158">
        <f t="shared" si="43"/>
        <v>0</v>
      </c>
      <c r="AD36" s="158">
        <f t="shared" si="52"/>
        <v>1</v>
      </c>
      <c r="AE36" s="172">
        <f t="shared" si="53"/>
        <v>1.1088000000000002</v>
      </c>
      <c r="AF36" s="211">
        <f>IF(AD36=0,AB36*$AD$65,M36*(1+max_increase))</f>
        <v>1.2320000000000002</v>
      </c>
      <c r="AG36" s="213">
        <f t="shared" ref="AG36:AG58" si="61">AF36*T36</f>
        <v>1.1088000000000002</v>
      </c>
      <c r="AH36" s="158">
        <f t="shared" si="44"/>
        <v>0</v>
      </c>
      <c r="AI36" s="158">
        <f t="shared" si="54"/>
        <v>0</v>
      </c>
      <c r="AJ36" s="172">
        <f t="shared" si="45"/>
        <v>1.2320000000000002</v>
      </c>
      <c r="AK36" s="158">
        <f t="shared" ref="AK36:AK58" si="62">IF(V36=0,0,IF(AG36&gt;(1+max_increase)*$N36,1,0))</f>
        <v>1</v>
      </c>
      <c r="AL36" s="158">
        <f t="shared" si="55"/>
        <v>0</v>
      </c>
      <c r="AM36" s="172">
        <f t="shared" ref="AM36:AM58" si="63">AJ36*T36</f>
        <v>1.1088000000000002</v>
      </c>
      <c r="AN36" s="211">
        <f t="shared" si="46"/>
        <v>1.2320000000000002</v>
      </c>
      <c r="AO36" s="213">
        <f t="shared" si="56"/>
        <v>1.1088000000000002</v>
      </c>
      <c r="AP36" s="173"/>
      <c r="AQ36" s="169">
        <f t="shared" si="57"/>
        <v>1.2320000000000002</v>
      </c>
      <c r="AR36" s="169">
        <f t="shared" si="58"/>
        <v>1.1088000000000002</v>
      </c>
    </row>
    <row r="37" spans="1:44" x14ac:dyDescent="0.3">
      <c r="A37">
        <f>A36+1</f>
        <v>4</v>
      </c>
      <c r="B37" s="45" t="s">
        <v>73</v>
      </c>
      <c r="C37" s="41" t="s">
        <v>79</v>
      </c>
      <c r="D37" s="41"/>
      <c r="E37" s="60">
        <f>'Reference VO 4RP'!N18</f>
        <v>238</v>
      </c>
      <c r="F37" s="61">
        <f>'Reference VO 4RP'!L18</f>
        <v>4688610</v>
      </c>
      <c r="G37" s="61"/>
      <c r="H37" s="157">
        <f t="shared" si="59"/>
        <v>3.5837654350344569E-2</v>
      </c>
      <c r="I37" s="157">
        <f t="shared" si="47"/>
        <v>8.5293617353820075</v>
      </c>
      <c r="J37" s="246">
        <f>SUMIFS('Reference VO 4RP'!$G$5:$G$34,'Reference VO 4RP'!$B$5:$B$34,"Exit",'Reference VO 4RP'!$E$5:$E$34,$B37,'Reference VO 4RP'!$C$5:$C$34,J$6)</f>
        <v>3382423.6799999997</v>
      </c>
      <c r="K37" s="246">
        <f>SUMIFS('Reference VO 4RP'!$G$5:$G$34,'Reference VO 4RP'!$B$5:$B$34,"Exit",'Reference VO 4RP'!$E$5:$E$34,$B37,'Reference VO 4RP'!$C$5:$C$34,K$6)</f>
        <v>0</v>
      </c>
      <c r="L37" s="38">
        <f t="shared" si="60"/>
        <v>0.62369876586523909</v>
      </c>
      <c r="M37" s="164">
        <f>'Reference VO 4RP'!O18</f>
        <v>3.33</v>
      </c>
      <c r="N37" s="164">
        <f>'Reference VO 4RP'!P18</f>
        <v>0</v>
      </c>
      <c r="O37" s="39"/>
      <c r="P37" s="38">
        <v>1</v>
      </c>
      <c r="Q37" s="157">
        <f t="shared" si="48"/>
        <v>2.4280861064248747</v>
      </c>
      <c r="R37" s="158">
        <v>1</v>
      </c>
      <c r="S37" s="231">
        <f>benchmark_m</f>
        <v>1.8999957199999997</v>
      </c>
      <c r="T37" s="38">
        <f t="shared" si="38"/>
        <v>0.9</v>
      </c>
      <c r="U37" s="164">
        <f t="shared" si="39"/>
        <v>2.1852774957823873</v>
      </c>
      <c r="V37" s="158">
        <f t="shared" si="49"/>
        <v>1</v>
      </c>
      <c r="W37" s="157">
        <f t="shared" si="40"/>
        <v>1.7099961479999999</v>
      </c>
      <c r="X37" s="220">
        <f t="shared" ref="X37:X58" si="64">((1-R37)*$U$65+R37)*S37</f>
        <v>1.8999957199999997</v>
      </c>
      <c r="Y37" s="221">
        <f t="shared" si="50"/>
        <v>1.7099961479999999</v>
      </c>
      <c r="Z37" s="158">
        <f t="shared" si="41"/>
        <v>0</v>
      </c>
      <c r="AA37" s="158">
        <f t="shared" si="51"/>
        <v>1</v>
      </c>
      <c r="AB37" s="172">
        <f t="shared" si="42"/>
        <v>1.8999957199999997</v>
      </c>
      <c r="AC37" s="158">
        <f t="shared" si="43"/>
        <v>0</v>
      </c>
      <c r="AD37" s="158">
        <f t="shared" si="52"/>
        <v>1</v>
      </c>
      <c r="AE37" s="172">
        <f t="shared" si="53"/>
        <v>1.7099961479999999</v>
      </c>
      <c r="AF37" s="211">
        <f>AB37</f>
        <v>1.8999957199999997</v>
      </c>
      <c r="AG37" s="213">
        <f t="shared" si="61"/>
        <v>1.7099961479999999</v>
      </c>
      <c r="AH37" s="158">
        <f t="shared" si="44"/>
        <v>0</v>
      </c>
      <c r="AI37" s="158">
        <f t="shared" si="54"/>
        <v>0</v>
      </c>
      <c r="AJ37" s="172">
        <f t="shared" si="45"/>
        <v>1.8999957199999997</v>
      </c>
      <c r="AK37" s="158">
        <f t="shared" si="62"/>
        <v>1</v>
      </c>
      <c r="AL37" s="158">
        <f t="shared" si="55"/>
        <v>0</v>
      </c>
      <c r="AM37" s="172">
        <f t="shared" si="63"/>
        <v>1.7099961479999999</v>
      </c>
      <c r="AN37" s="211">
        <f t="shared" si="46"/>
        <v>1.8999957199999997</v>
      </c>
      <c r="AO37" s="213">
        <f t="shared" si="56"/>
        <v>1.7099961479999999</v>
      </c>
      <c r="AP37" s="173"/>
      <c r="AQ37" s="169">
        <f t="shared" si="57"/>
        <v>1.8999957199999997</v>
      </c>
      <c r="AR37" s="169">
        <f t="shared" si="58"/>
        <v>1.7099961479999999</v>
      </c>
    </row>
    <row r="38" spans="1:44" ht="14.4" customHeight="1" x14ac:dyDescent="0.3">
      <c r="A38">
        <f t="shared" ref="A38:A58" si="65">A37+1</f>
        <v>5</v>
      </c>
      <c r="B38" s="45" t="s">
        <v>59</v>
      </c>
      <c r="C38" s="41" t="s">
        <v>78</v>
      </c>
      <c r="D38" s="41"/>
      <c r="E38" s="60">
        <f>'Reference VO 4RP'!N19</f>
        <v>242</v>
      </c>
      <c r="F38" s="61">
        <f>'Reference VO 4RP'!L19</f>
        <v>8386825</v>
      </c>
      <c r="G38" s="61"/>
      <c r="H38" s="157">
        <f t="shared" si="59"/>
        <v>6.4105168791353639E-2</v>
      </c>
      <c r="I38" s="157">
        <f t="shared" si="47"/>
        <v>15.513450847507581</v>
      </c>
      <c r="J38" s="246">
        <f>SUMIFS('Reference VO 4RP'!$G$5:$G$34,'Reference VO 4RP'!$B$5:$B$34,"Exit",'Reference VO 4RP'!$E$5:$E$34,$B38,'Reference VO 4RP'!$C$5:$C$34,J$6)</f>
        <v>15660326.67</v>
      </c>
      <c r="K38" s="246">
        <f>SUMIFS('Reference VO 4RP'!$G$5:$G$34,'Reference VO 4RP'!$B$5:$B$34,"Exit",'Reference VO 4RP'!$E$5:$E$34,$B38,'Reference VO 4RP'!$C$5:$C$34,K$6)</f>
        <v>0</v>
      </c>
      <c r="L38" s="38">
        <f t="shared" si="60"/>
        <v>0.74980941530875445</v>
      </c>
      <c r="M38" s="164">
        <f>'Reference VO 4RP'!O19</f>
        <v>3.44</v>
      </c>
      <c r="N38" s="164">
        <f>'Reference VO 4RP'!P19</f>
        <v>0</v>
      </c>
      <c r="O38" s="39"/>
      <c r="P38" s="38">
        <v>1</v>
      </c>
      <c r="Q38" s="157">
        <f t="shared" si="48"/>
        <v>2.9190402858214375</v>
      </c>
      <c r="R38" s="158">
        <f t="shared" ref="R38:R54" si="66">IF(M38=0,0,IF(Q38&gt;(1+max_increase)*$M38,1,0))</f>
        <v>0</v>
      </c>
      <c r="S38" s="157">
        <f t="shared" ref="S38:S58" si="67">(1-R38)*Q38+R38*(1+max_increase)*M38</f>
        <v>2.9190402858214375</v>
      </c>
      <c r="T38" s="38">
        <f t="shared" si="38"/>
        <v>0.9</v>
      </c>
      <c r="U38" s="164">
        <f t="shared" si="39"/>
        <v>2.627136257239294</v>
      </c>
      <c r="V38" s="158">
        <f>R38</f>
        <v>0</v>
      </c>
      <c r="W38" s="157">
        <f t="shared" si="40"/>
        <v>2.627136257239294</v>
      </c>
      <c r="X38" s="220">
        <f t="shared" si="64"/>
        <v>3.2581761927831421</v>
      </c>
      <c r="Y38" s="221">
        <f t="shared" si="50"/>
        <v>2.9323585735048279</v>
      </c>
      <c r="Z38" s="158">
        <f t="shared" si="41"/>
        <v>0</v>
      </c>
      <c r="AA38" s="158">
        <f t="shared" si="51"/>
        <v>0</v>
      </c>
      <c r="AB38" s="172">
        <f t="shared" si="42"/>
        <v>3.2581761927831421</v>
      </c>
      <c r="AC38" s="158">
        <f t="shared" si="43"/>
        <v>0</v>
      </c>
      <c r="AD38" s="158">
        <f t="shared" si="52"/>
        <v>0</v>
      </c>
      <c r="AE38" s="172">
        <f t="shared" si="53"/>
        <v>2.9323585735048279</v>
      </c>
      <c r="AF38" s="211">
        <f t="shared" ref="AF38:AF58" si="68">IF(AD38=0,AB38*$AD$65,M38*(1+max_increase))</f>
        <v>3.2581761927831421</v>
      </c>
      <c r="AG38" s="213">
        <f t="shared" si="61"/>
        <v>2.9323585735048279</v>
      </c>
      <c r="AH38" s="158">
        <f t="shared" si="44"/>
        <v>0</v>
      </c>
      <c r="AI38" s="158">
        <f t="shared" si="54"/>
        <v>0</v>
      </c>
      <c r="AJ38" s="172">
        <f t="shared" si="45"/>
        <v>3.2581761927831421</v>
      </c>
      <c r="AK38" s="158">
        <f t="shared" si="62"/>
        <v>0</v>
      </c>
      <c r="AL38" s="158">
        <f t="shared" si="55"/>
        <v>0</v>
      </c>
      <c r="AM38" s="172">
        <f t="shared" si="63"/>
        <v>2.9323585735048279</v>
      </c>
      <c r="AN38" s="211">
        <f t="shared" si="46"/>
        <v>3.2581761927831421</v>
      </c>
      <c r="AO38" s="213">
        <f>AN38*T38</f>
        <v>2.9323585735048279</v>
      </c>
      <c r="AP38" s="173"/>
      <c r="AQ38" s="169">
        <f t="shared" si="57"/>
        <v>3.2581761927831421</v>
      </c>
      <c r="AR38" s="169">
        <f t="shared" si="58"/>
        <v>2.9323585735048279</v>
      </c>
    </row>
    <row r="39" spans="1:44" ht="15" customHeight="1" x14ac:dyDescent="0.3">
      <c r="A39">
        <f t="shared" si="65"/>
        <v>6</v>
      </c>
      <c r="B39" s="45" t="s">
        <v>74</v>
      </c>
      <c r="C39" s="41" t="s">
        <v>77</v>
      </c>
      <c r="D39" s="41"/>
      <c r="E39" s="60">
        <f>'Reference VO 4RP'!N20</f>
        <v>36</v>
      </c>
      <c r="F39" s="61">
        <f>'Reference VO 4RP'!L20</f>
        <v>1119000</v>
      </c>
      <c r="G39" s="61"/>
      <c r="H39" s="157">
        <f t="shared" si="59"/>
        <v>8.5531394630893962E-3</v>
      </c>
      <c r="I39" s="157">
        <f t="shared" si="47"/>
        <v>0.30791302067121828</v>
      </c>
      <c r="J39" s="246">
        <f>SUMIFS('Reference VO 4RP'!$G$5:$G$34,'Reference VO 4RP'!$B$5:$B$34,"Exit",'Reference VO 4RP'!$E$5:$E$34,$B39,'Reference VO 4RP'!$C$5:$C$34,J$6)</f>
        <v>0</v>
      </c>
      <c r="K39" s="246">
        <f>SUMIFS('Reference VO 4RP'!$G$5:$G$34,'Reference VO 4RP'!$B$5:$B$34,"Exit",'Reference VO 4RP'!$E$5:$E$34,$B39,'Reference VO 4RP'!$C$5:$C$34,K$6)</f>
        <v>0</v>
      </c>
      <c r="L39" s="38">
        <f t="shared" si="60"/>
        <v>0.41581601924538891</v>
      </c>
      <c r="M39" s="164">
        <f>'Reference VO 4RP'!O20</f>
        <v>1.1200000000000001</v>
      </c>
      <c r="N39" s="164">
        <f>'Reference VO 4RP'!P20</f>
        <v>0</v>
      </c>
      <c r="O39" s="39"/>
      <c r="P39" s="38">
        <v>1</v>
      </c>
      <c r="Q39" s="157">
        <f t="shared" si="48"/>
        <v>1.6187896375872846</v>
      </c>
      <c r="R39" s="158">
        <f t="shared" si="66"/>
        <v>1</v>
      </c>
      <c r="S39" s="157">
        <f t="shared" si="67"/>
        <v>1.2320000000000002</v>
      </c>
      <c r="T39" s="38">
        <f t="shared" si="38"/>
        <v>0.9</v>
      </c>
      <c r="U39" s="164">
        <f t="shared" si="39"/>
        <v>1.4569106738285562</v>
      </c>
      <c r="V39" s="158">
        <f t="shared" si="49"/>
        <v>1</v>
      </c>
      <c r="W39" s="157">
        <f t="shared" si="40"/>
        <v>1.1088000000000002</v>
      </c>
      <c r="X39" s="220">
        <f t="shared" si="64"/>
        <v>1.2320000000000002</v>
      </c>
      <c r="Y39" s="221">
        <f t="shared" si="50"/>
        <v>1.1088000000000002</v>
      </c>
      <c r="Z39" s="158">
        <f t="shared" si="41"/>
        <v>0</v>
      </c>
      <c r="AA39" s="158">
        <f t="shared" si="51"/>
        <v>1</v>
      </c>
      <c r="AB39" s="172">
        <f t="shared" si="42"/>
        <v>1.2320000000000002</v>
      </c>
      <c r="AC39" s="158">
        <f t="shared" si="43"/>
        <v>0</v>
      </c>
      <c r="AD39" s="158">
        <f t="shared" si="52"/>
        <v>1</v>
      </c>
      <c r="AE39" s="172">
        <f t="shared" si="53"/>
        <v>1.1088000000000002</v>
      </c>
      <c r="AF39" s="211">
        <f t="shared" si="68"/>
        <v>1.2320000000000002</v>
      </c>
      <c r="AG39" s="213">
        <f>AF39*T39</f>
        <v>1.1088000000000002</v>
      </c>
      <c r="AH39" s="158">
        <f t="shared" si="44"/>
        <v>0</v>
      </c>
      <c r="AI39" s="158">
        <f t="shared" si="54"/>
        <v>0</v>
      </c>
      <c r="AJ39" s="172">
        <f t="shared" si="45"/>
        <v>1.2320000000000002</v>
      </c>
      <c r="AK39" s="158">
        <f t="shared" si="62"/>
        <v>1</v>
      </c>
      <c r="AL39" s="158">
        <f t="shared" si="55"/>
        <v>0</v>
      </c>
      <c r="AM39" s="172">
        <f t="shared" si="63"/>
        <v>1.1088000000000002</v>
      </c>
      <c r="AN39" s="211">
        <f t="shared" si="46"/>
        <v>1.2320000000000002</v>
      </c>
      <c r="AO39" s="213">
        <f t="shared" si="56"/>
        <v>1.1088000000000002</v>
      </c>
      <c r="AP39" s="173"/>
      <c r="AQ39" s="169">
        <f t="shared" si="57"/>
        <v>1.2320000000000002</v>
      </c>
      <c r="AR39" s="169">
        <f t="shared" si="58"/>
        <v>1.1088000000000002</v>
      </c>
    </row>
    <row r="40" spans="1:44" ht="14.4" customHeight="1" x14ac:dyDescent="0.3">
      <c r="A40">
        <f t="shared" si="65"/>
        <v>7</v>
      </c>
      <c r="B40" s="45" t="s">
        <v>60</v>
      </c>
      <c r="C40" s="41" t="s">
        <v>78</v>
      </c>
      <c r="D40" s="41"/>
      <c r="E40" s="60">
        <f>'Reference VO 4RP'!N21</f>
        <v>337</v>
      </c>
      <c r="F40" s="61">
        <f>'Reference VO 4RP'!L21</f>
        <v>7273500</v>
      </c>
      <c r="G40" s="61"/>
      <c r="H40" s="157">
        <f t="shared" si="59"/>
        <v>5.5595406510081082E-2</v>
      </c>
      <c r="I40" s="157">
        <f t="shared" si="47"/>
        <v>18.735651993897324</v>
      </c>
      <c r="J40" s="246">
        <f>SUMIFS('Reference VO 4RP'!$G$5:$G$34,'Reference VO 4RP'!$B$5:$B$34,"Exit",'Reference VO 4RP'!$E$5:$E$34,$B40,'Reference VO 4RP'!$C$5:$C$34,J$6)</f>
        <v>265538.7</v>
      </c>
      <c r="K40" s="246">
        <f>SUMIFS('Reference VO 4RP'!$G$5:$G$34,'Reference VO 4RP'!$B$5:$B$34,"Exit",'Reference VO 4RP'!$E$5:$E$34,$B40,'Reference VO 4RP'!$C$5:$C$34,K$6)</f>
        <v>6468513.7799999993</v>
      </c>
      <c r="L40" s="38">
        <f t="shared" si="60"/>
        <v>0.74980941530875445</v>
      </c>
      <c r="M40" s="164">
        <f>'Reference VO 4RP'!O21</f>
        <v>3.44</v>
      </c>
      <c r="N40" s="164">
        <f>'Reference VO 4RP'!P21</f>
        <v>2.99</v>
      </c>
      <c r="O40" s="157"/>
      <c r="P40" s="38">
        <v>1</v>
      </c>
      <c r="Q40" s="157">
        <f t="shared" si="48"/>
        <v>2.9190402858214375</v>
      </c>
      <c r="R40" s="158">
        <f t="shared" si="66"/>
        <v>0</v>
      </c>
      <c r="S40" s="157">
        <f t="shared" si="67"/>
        <v>2.9190402858214375</v>
      </c>
      <c r="T40" s="38">
        <f t="shared" si="38"/>
        <v>0.9</v>
      </c>
      <c r="U40" s="164">
        <f t="shared" si="39"/>
        <v>2.627136257239294</v>
      </c>
      <c r="V40" s="158">
        <f t="shared" si="49"/>
        <v>0</v>
      </c>
      <c r="W40" s="157">
        <f t="shared" si="40"/>
        <v>2.627136257239294</v>
      </c>
      <c r="X40" s="220">
        <f t="shared" si="64"/>
        <v>3.2581761927831421</v>
      </c>
      <c r="Y40" s="221">
        <f t="shared" si="50"/>
        <v>2.9323585735048279</v>
      </c>
      <c r="Z40" s="158">
        <f t="shared" si="41"/>
        <v>0</v>
      </c>
      <c r="AA40" s="158">
        <f t="shared" si="51"/>
        <v>0</v>
      </c>
      <c r="AB40" s="172">
        <f t="shared" si="42"/>
        <v>3.2581761927831421</v>
      </c>
      <c r="AC40" s="158">
        <f t="shared" si="43"/>
        <v>0</v>
      </c>
      <c r="AD40" s="158">
        <f t="shared" si="52"/>
        <v>0</v>
      </c>
      <c r="AE40" s="172">
        <f t="shared" si="53"/>
        <v>2.9323585735048279</v>
      </c>
      <c r="AF40" s="211">
        <f t="shared" si="68"/>
        <v>3.2581761927831421</v>
      </c>
      <c r="AG40" s="213">
        <f t="shared" si="61"/>
        <v>2.9323585735048279</v>
      </c>
      <c r="AH40" s="158">
        <f t="shared" si="44"/>
        <v>0</v>
      </c>
      <c r="AI40" s="158">
        <f t="shared" si="54"/>
        <v>0</v>
      </c>
      <c r="AJ40" s="172">
        <f t="shared" si="45"/>
        <v>3.2581761927831421</v>
      </c>
      <c r="AK40" s="158">
        <f t="shared" si="62"/>
        <v>0</v>
      </c>
      <c r="AL40" s="158">
        <f t="shared" si="55"/>
        <v>0</v>
      </c>
      <c r="AM40" s="172">
        <f t="shared" si="63"/>
        <v>2.9323585735048279</v>
      </c>
      <c r="AN40" s="211">
        <f t="shared" si="46"/>
        <v>3.2581761927831421</v>
      </c>
      <c r="AO40" s="213">
        <f t="shared" si="56"/>
        <v>2.9323585735048279</v>
      </c>
      <c r="AP40" s="173"/>
      <c r="AQ40" s="169">
        <f t="shared" si="57"/>
        <v>3.2581761927831421</v>
      </c>
      <c r="AR40" s="169">
        <f t="shared" si="58"/>
        <v>2.9323585735048279</v>
      </c>
    </row>
    <row r="41" spans="1:44" ht="15" customHeight="1" x14ac:dyDescent="0.3">
      <c r="A41">
        <f t="shared" si="65"/>
        <v>8</v>
      </c>
      <c r="B41" s="45" t="s">
        <v>61</v>
      </c>
      <c r="C41" s="39" t="s">
        <v>82</v>
      </c>
      <c r="D41" s="39"/>
      <c r="E41" s="60">
        <f>'Reference VO 4RP'!N22</f>
        <v>2</v>
      </c>
      <c r="F41" s="61">
        <f>'Reference VO 4RP'!L22</f>
        <v>7273500</v>
      </c>
      <c r="G41" s="61"/>
      <c r="H41" s="157">
        <f t="shared" si="59"/>
        <v>5.5595406510081082E-2</v>
      </c>
      <c r="I41" s="157">
        <f t="shared" si="47"/>
        <v>0.11119081302016216</v>
      </c>
      <c r="J41" s="246">
        <f>SUMIFS('Reference VO 4RP'!$G$5:$G$34,'Reference VO 4RP'!$B$5:$B$34,"Exit",'Reference VO 4RP'!$E$5:$E$34,$B41,'Reference VO 4RP'!$C$5:$C$34,J$6)</f>
        <v>5749393</v>
      </c>
      <c r="K41" s="246">
        <f>SUMIFS('Reference VO 4RP'!$G$5:$G$34,'Reference VO 4RP'!$B$5:$B$34,"Exit",'Reference VO 4RP'!$E$5:$E$34,$B41,'Reference VO 4RP'!$C$5:$C$34,K$6)</f>
        <v>0</v>
      </c>
      <c r="L41" s="38">
        <f t="shared" si="60"/>
        <v>0.25634007157506294</v>
      </c>
      <c r="M41" s="164">
        <f>'Reference VO 4RP'!O22</f>
        <v>0.4</v>
      </c>
      <c r="N41" s="164">
        <f>'Reference VO 4RP'!P22</f>
        <v>0</v>
      </c>
      <c r="O41" s="157"/>
      <c r="P41" s="38">
        <f>1-discount_storage_exit</f>
        <v>0.5</v>
      </c>
      <c r="Q41" s="157">
        <f t="shared" si="48"/>
        <v>0.4989714589605681</v>
      </c>
      <c r="R41" s="158">
        <f t="shared" si="66"/>
        <v>1</v>
      </c>
      <c r="S41" s="157">
        <f t="shared" si="67"/>
        <v>0.44000000000000006</v>
      </c>
      <c r="T41" s="38">
        <f t="shared" si="38"/>
        <v>0.9</v>
      </c>
      <c r="U41" s="164">
        <f t="shared" si="39"/>
        <v>0.44907431306451129</v>
      </c>
      <c r="V41" s="158">
        <f t="shared" si="49"/>
        <v>1</v>
      </c>
      <c r="W41" s="157">
        <f t="shared" si="40"/>
        <v>0.39600000000000007</v>
      </c>
      <c r="X41" s="220">
        <f t="shared" si="64"/>
        <v>0.44000000000000006</v>
      </c>
      <c r="Y41" s="221">
        <f t="shared" si="50"/>
        <v>0.39600000000000007</v>
      </c>
      <c r="Z41" s="158">
        <f t="shared" si="41"/>
        <v>0</v>
      </c>
      <c r="AA41" s="158">
        <f t="shared" si="51"/>
        <v>1</v>
      </c>
      <c r="AB41" s="172">
        <f t="shared" si="42"/>
        <v>0.44000000000000006</v>
      </c>
      <c r="AC41" s="158">
        <f t="shared" si="43"/>
        <v>0</v>
      </c>
      <c r="AD41" s="158">
        <f t="shared" si="52"/>
        <v>1</v>
      </c>
      <c r="AE41" s="172">
        <f t="shared" si="53"/>
        <v>0.39600000000000007</v>
      </c>
      <c r="AF41" s="211">
        <f t="shared" si="68"/>
        <v>0.44000000000000006</v>
      </c>
      <c r="AG41" s="213">
        <f t="shared" si="61"/>
        <v>0.39600000000000007</v>
      </c>
      <c r="AH41" s="158">
        <f t="shared" si="44"/>
        <v>0</v>
      </c>
      <c r="AI41" s="158">
        <f t="shared" si="54"/>
        <v>0</v>
      </c>
      <c r="AJ41" s="172">
        <f t="shared" si="45"/>
        <v>0.44000000000000006</v>
      </c>
      <c r="AK41" s="158">
        <f t="shared" si="62"/>
        <v>1</v>
      </c>
      <c r="AL41" s="158">
        <f t="shared" si="55"/>
        <v>0</v>
      </c>
      <c r="AM41" s="172">
        <f t="shared" si="63"/>
        <v>0.39600000000000007</v>
      </c>
      <c r="AN41" s="211">
        <f t="shared" si="46"/>
        <v>0.44000000000000006</v>
      </c>
      <c r="AO41" s="213">
        <f t="shared" si="56"/>
        <v>0.39600000000000007</v>
      </c>
      <c r="AP41" s="173"/>
      <c r="AQ41" s="169">
        <f t="shared" si="57"/>
        <v>0.44000000000000006</v>
      </c>
      <c r="AR41" s="169">
        <f t="shared" si="58"/>
        <v>0.39600000000000007</v>
      </c>
    </row>
    <row r="42" spans="1:44" ht="14.4" customHeight="1" x14ac:dyDescent="0.3">
      <c r="A42" s="281">
        <f t="shared" si="65"/>
        <v>9</v>
      </c>
      <c r="B42" s="281" t="s">
        <v>116</v>
      </c>
      <c r="C42" s="282" t="s">
        <v>82</v>
      </c>
      <c r="D42" s="282"/>
      <c r="E42" s="283">
        <f>'Reference VO 4RP'!N23</f>
        <v>334</v>
      </c>
      <c r="F42" s="284">
        <f>'Reference VO 4RP'!L23</f>
        <v>2950825</v>
      </c>
      <c r="G42" s="284"/>
      <c r="H42" s="285">
        <f t="shared" si="59"/>
        <v>2.255479692240462E-2</v>
      </c>
      <c r="I42" s="285">
        <f t="shared" si="47"/>
        <v>7.5333021720831432</v>
      </c>
      <c r="J42" s="286">
        <f>SUMIFS('Reference VO 4RP'!$G$5:$G$34,'Reference VO 4RP'!$B$5:$B$34,"Exit",'Reference VO 4RP'!$E$5:$E$34,$B42,'Reference VO 4RP'!$C$5:$C$34,J$6)</f>
        <v>2950825</v>
      </c>
      <c r="K42" s="286">
        <f>SUMIFS('Reference VO 4RP'!$G$5:$G$34,'Reference VO 4RP'!$B$5:$B$34,"Exit",'Reference VO 4RP'!$E$5:$E$34,$B42,'Reference VO 4RP'!$C$5:$C$34,K$6)</f>
        <v>0</v>
      </c>
      <c r="L42" s="287">
        <f t="shared" si="60"/>
        <v>0.25634007157506294</v>
      </c>
      <c r="M42" s="283">
        <f>'Reference VO 4RP'!O23</f>
        <v>0.4</v>
      </c>
      <c r="N42" s="283">
        <f>'Reference VO 4RP'!P23</f>
        <v>0</v>
      </c>
      <c r="O42" s="157"/>
      <c r="P42" s="38">
        <f>1-discount_storage_exit</f>
        <v>0.5</v>
      </c>
      <c r="Q42" s="157">
        <f t="shared" si="48"/>
        <v>0.4989714589605681</v>
      </c>
      <c r="R42" s="158">
        <f t="shared" si="66"/>
        <v>1</v>
      </c>
      <c r="S42" s="157">
        <f t="shared" si="67"/>
        <v>0.44000000000000006</v>
      </c>
      <c r="T42" s="38">
        <f t="shared" si="38"/>
        <v>0.9</v>
      </c>
      <c r="U42" s="164">
        <f t="shared" si="39"/>
        <v>0.44907431306451129</v>
      </c>
      <c r="V42" s="158">
        <f t="shared" si="49"/>
        <v>1</v>
      </c>
      <c r="W42" s="157">
        <f t="shared" si="40"/>
        <v>0.39600000000000007</v>
      </c>
      <c r="X42" s="220">
        <f t="shared" si="64"/>
        <v>0.44000000000000006</v>
      </c>
      <c r="Y42" s="221">
        <f t="shared" si="50"/>
        <v>0.39600000000000007</v>
      </c>
      <c r="Z42" s="158">
        <f t="shared" si="41"/>
        <v>0</v>
      </c>
      <c r="AA42" s="158">
        <f t="shared" si="51"/>
        <v>1</v>
      </c>
      <c r="AB42" s="172">
        <f t="shared" si="42"/>
        <v>0.44000000000000006</v>
      </c>
      <c r="AC42" s="158">
        <f t="shared" si="43"/>
        <v>0</v>
      </c>
      <c r="AD42" s="158">
        <f t="shared" si="52"/>
        <v>1</v>
      </c>
      <c r="AE42" s="172">
        <f t="shared" si="53"/>
        <v>0.39600000000000007</v>
      </c>
      <c r="AF42" s="211">
        <f t="shared" si="68"/>
        <v>0.44000000000000006</v>
      </c>
      <c r="AG42" s="213">
        <f t="shared" si="61"/>
        <v>0.39600000000000007</v>
      </c>
      <c r="AH42" s="158">
        <f t="shared" si="44"/>
        <v>0</v>
      </c>
      <c r="AI42" s="158">
        <f t="shared" si="54"/>
        <v>0</v>
      </c>
      <c r="AJ42" s="172">
        <f t="shared" si="45"/>
        <v>0.44000000000000006</v>
      </c>
      <c r="AK42" s="158">
        <f t="shared" si="62"/>
        <v>1</v>
      </c>
      <c r="AL42" s="158">
        <f t="shared" si="55"/>
        <v>0</v>
      </c>
      <c r="AM42" s="172">
        <f t="shared" si="63"/>
        <v>0.39600000000000007</v>
      </c>
      <c r="AN42" s="211">
        <f t="shared" si="46"/>
        <v>0.44000000000000006</v>
      </c>
      <c r="AO42" s="213">
        <f t="shared" si="56"/>
        <v>0.39600000000000007</v>
      </c>
      <c r="AP42" s="173"/>
      <c r="AQ42" s="169">
        <f t="shared" si="57"/>
        <v>0.44000000000000006</v>
      </c>
      <c r="AR42" s="169">
        <f t="shared" si="58"/>
        <v>0.39600000000000007</v>
      </c>
    </row>
    <row r="43" spans="1:44" x14ac:dyDescent="0.3">
      <c r="A43">
        <f t="shared" si="65"/>
        <v>10</v>
      </c>
      <c r="B43" s="41" t="s">
        <v>91</v>
      </c>
      <c r="C43" s="41" t="s">
        <v>80</v>
      </c>
      <c r="D43" s="41"/>
      <c r="E43" s="60">
        <f>'Reference VO 4RP'!N24</f>
        <v>24</v>
      </c>
      <c r="F43" s="61">
        <f>'Reference VO 4RP'!L24</f>
        <v>4635629</v>
      </c>
      <c r="G43" s="61"/>
      <c r="H43" s="157">
        <f t="shared" si="59"/>
        <v>3.5432691095747662E-2</v>
      </c>
      <c r="I43" s="157">
        <f t="shared" si="47"/>
        <v>0.85038458629794389</v>
      </c>
      <c r="J43" s="248">
        <f>'Reference VO 4RP'!Q24</f>
        <v>0</v>
      </c>
      <c r="K43" s="248">
        <f>'Reference VO 4RP'!R24</f>
        <v>4635629</v>
      </c>
      <c r="L43" s="38">
        <f t="shared" si="60"/>
        <v>9.5928218457106376E-2</v>
      </c>
      <c r="M43" s="164">
        <f>'Reference VO 4RP'!O24</f>
        <v>0.53</v>
      </c>
      <c r="N43" s="164">
        <f>'Reference VO 4RP'!P24</f>
        <v>0.48</v>
      </c>
      <c r="O43" s="157"/>
      <c r="P43" s="38">
        <v>1</v>
      </c>
      <c r="Q43" s="157">
        <f t="shared" si="48"/>
        <v>0.37345267811563543</v>
      </c>
      <c r="R43" s="158">
        <f t="shared" si="66"/>
        <v>0</v>
      </c>
      <c r="S43" s="157">
        <f t="shared" si="67"/>
        <v>0.37345267811563543</v>
      </c>
      <c r="T43" s="38">
        <f t="shared" si="38"/>
        <v>0.9</v>
      </c>
      <c r="U43" s="164">
        <f t="shared" si="39"/>
        <v>0.33610741030407187</v>
      </c>
      <c r="V43" s="158">
        <f t="shared" si="49"/>
        <v>0</v>
      </c>
      <c r="W43" s="157">
        <f>S43*(1-discount_DZK)</f>
        <v>0.33610741030407187</v>
      </c>
      <c r="X43" s="220">
        <f t="shared" si="64"/>
        <v>0.41684064138397486</v>
      </c>
      <c r="Y43" s="221">
        <f t="shared" si="50"/>
        <v>0.37515657724557738</v>
      </c>
      <c r="Z43" s="158">
        <f t="shared" si="41"/>
        <v>0</v>
      </c>
      <c r="AA43" s="158">
        <f t="shared" si="51"/>
        <v>0</v>
      </c>
      <c r="AB43" s="172">
        <f t="shared" si="42"/>
        <v>0.41684064138397486</v>
      </c>
      <c r="AC43" s="158">
        <f t="shared" si="43"/>
        <v>0</v>
      </c>
      <c r="AD43" s="158">
        <f t="shared" si="52"/>
        <v>0</v>
      </c>
      <c r="AE43" s="172">
        <f t="shared" si="53"/>
        <v>0.37515657724557738</v>
      </c>
      <c r="AF43" s="211">
        <f t="shared" si="68"/>
        <v>0.41684064138397486</v>
      </c>
      <c r="AG43" s="213">
        <f t="shared" si="61"/>
        <v>0.37515657724557738</v>
      </c>
      <c r="AH43" s="158">
        <f t="shared" si="44"/>
        <v>0</v>
      </c>
      <c r="AI43" s="158">
        <f t="shared" si="54"/>
        <v>0</v>
      </c>
      <c r="AJ43" s="172">
        <f t="shared" si="45"/>
        <v>0.41684064138397486</v>
      </c>
      <c r="AK43" s="158">
        <f t="shared" si="62"/>
        <v>0</v>
      </c>
      <c r="AL43" s="158">
        <f t="shared" si="55"/>
        <v>0</v>
      </c>
      <c r="AM43" s="172">
        <f t="shared" si="63"/>
        <v>0.37515657724557738</v>
      </c>
      <c r="AN43" s="211">
        <f t="shared" si="46"/>
        <v>0.41684064138397486</v>
      </c>
      <c r="AO43" s="213">
        <f t="shared" si="56"/>
        <v>0.37515657724557738</v>
      </c>
      <c r="AP43" s="173"/>
      <c r="AQ43" s="169">
        <f t="shared" si="57"/>
        <v>0.41684064138397486</v>
      </c>
      <c r="AR43" s="169">
        <f t="shared" si="58"/>
        <v>0.37515657724557738</v>
      </c>
    </row>
    <row r="44" spans="1:44" x14ac:dyDescent="0.3">
      <c r="A44">
        <f t="shared" si="65"/>
        <v>11</v>
      </c>
      <c r="B44" s="41" t="s">
        <v>92</v>
      </c>
      <c r="C44" s="41" t="s">
        <v>80</v>
      </c>
      <c r="D44" s="41"/>
      <c r="E44" s="60">
        <f>'Reference VO 4RP'!N25</f>
        <v>78</v>
      </c>
      <c r="F44" s="61">
        <f>'Reference VO 4RP'!L25</f>
        <v>0</v>
      </c>
      <c r="G44" s="61"/>
      <c r="H44" s="157">
        <f t="shared" si="59"/>
        <v>0</v>
      </c>
      <c r="I44" s="157">
        <f t="shared" si="47"/>
        <v>0</v>
      </c>
      <c r="J44" s="248">
        <f>'Reference VO 4RP'!Q25</f>
        <v>0</v>
      </c>
      <c r="K44" s="248">
        <f>'Reference VO 4RP'!R25</f>
        <v>0</v>
      </c>
      <c r="L44" s="38">
        <f t="shared" si="60"/>
        <v>9.5928218457106376E-2</v>
      </c>
      <c r="M44" s="164">
        <f>'Reference VO 4RP'!O25</f>
        <v>0.53</v>
      </c>
      <c r="N44" s="164">
        <f>'Reference VO 4RP'!P25</f>
        <v>0</v>
      </c>
      <c r="O44" s="157"/>
      <c r="P44" s="38">
        <v>1</v>
      </c>
      <c r="Q44" s="157">
        <f t="shared" si="48"/>
        <v>0.37345267811563543</v>
      </c>
      <c r="R44" s="158">
        <f t="shared" si="66"/>
        <v>0</v>
      </c>
      <c r="S44" s="157">
        <f t="shared" si="67"/>
        <v>0.37345267811563543</v>
      </c>
      <c r="T44" s="38">
        <f t="shared" si="38"/>
        <v>0.9</v>
      </c>
      <c r="U44" s="164">
        <f t="shared" si="39"/>
        <v>0.33610741030407187</v>
      </c>
      <c r="V44" s="158">
        <f t="shared" si="49"/>
        <v>0</v>
      </c>
      <c r="W44" s="157">
        <f t="shared" si="40"/>
        <v>0.33610741030407187</v>
      </c>
      <c r="X44" s="220">
        <f t="shared" si="64"/>
        <v>0.41684064138397486</v>
      </c>
      <c r="Y44" s="221">
        <f t="shared" si="50"/>
        <v>0.37515657724557738</v>
      </c>
      <c r="Z44" s="158">
        <f t="shared" si="41"/>
        <v>0</v>
      </c>
      <c r="AA44" s="158">
        <f t="shared" si="51"/>
        <v>0</v>
      </c>
      <c r="AB44" s="172">
        <f t="shared" si="42"/>
        <v>0.41684064138397486</v>
      </c>
      <c r="AC44" s="158">
        <f t="shared" si="43"/>
        <v>0</v>
      </c>
      <c r="AD44" s="158">
        <f t="shared" si="52"/>
        <v>0</v>
      </c>
      <c r="AE44" s="172">
        <f t="shared" si="53"/>
        <v>0.37515657724557738</v>
      </c>
      <c r="AF44" s="211">
        <f t="shared" si="68"/>
        <v>0.41684064138397486</v>
      </c>
      <c r="AG44" s="213">
        <f t="shared" si="61"/>
        <v>0.37515657724557738</v>
      </c>
      <c r="AH44" s="158">
        <f t="shared" si="44"/>
        <v>0</v>
      </c>
      <c r="AI44" s="158">
        <f t="shared" si="54"/>
        <v>0</v>
      </c>
      <c r="AJ44" s="172">
        <f t="shared" si="45"/>
        <v>0.41684064138397486</v>
      </c>
      <c r="AK44" s="158">
        <f t="shared" si="62"/>
        <v>0</v>
      </c>
      <c r="AL44" s="158">
        <f t="shared" si="55"/>
        <v>0</v>
      </c>
      <c r="AM44" s="172">
        <f t="shared" si="63"/>
        <v>0.37515657724557738</v>
      </c>
      <c r="AN44" s="211">
        <f t="shared" si="46"/>
        <v>0.41684064138397486</v>
      </c>
      <c r="AO44" s="213">
        <f t="shared" si="56"/>
        <v>0.37515657724557738</v>
      </c>
      <c r="AP44" s="173"/>
      <c r="AQ44" s="169">
        <f t="shared" si="57"/>
        <v>0.41684064138397486</v>
      </c>
      <c r="AR44" s="169">
        <f t="shared" si="58"/>
        <v>0.37515657724557738</v>
      </c>
    </row>
    <row r="45" spans="1:44" x14ac:dyDescent="0.3">
      <c r="A45">
        <f t="shared" si="65"/>
        <v>12</v>
      </c>
      <c r="B45" s="41" t="s">
        <v>93</v>
      </c>
      <c r="C45" s="41" t="s">
        <v>80</v>
      </c>
      <c r="D45" s="41"/>
      <c r="E45" s="60">
        <f>'Reference VO 4RP'!N26</f>
        <v>133</v>
      </c>
      <c r="F45" s="61">
        <f>'Reference VO 4RP'!L26</f>
        <v>0</v>
      </c>
      <c r="G45" s="61"/>
      <c r="H45" s="157">
        <f t="shared" si="59"/>
        <v>0</v>
      </c>
      <c r="I45" s="157">
        <f t="shared" si="47"/>
        <v>0</v>
      </c>
      <c r="J45" s="248">
        <f>'Reference VO 4RP'!Q26</f>
        <v>0</v>
      </c>
      <c r="K45" s="248">
        <f>'Reference VO 4RP'!R26</f>
        <v>0</v>
      </c>
      <c r="L45" s="38">
        <f t="shared" si="60"/>
        <v>9.5928218457106376E-2</v>
      </c>
      <c r="M45" s="164">
        <f>'Reference VO 4RP'!O26</f>
        <v>0.53</v>
      </c>
      <c r="N45" s="164">
        <f>'Reference VO 4RP'!P26</f>
        <v>0</v>
      </c>
      <c r="O45" s="157"/>
      <c r="P45" s="38">
        <v>1</v>
      </c>
      <c r="Q45" s="157">
        <f t="shared" si="48"/>
        <v>0.37345267811563543</v>
      </c>
      <c r="R45" s="158">
        <f t="shared" si="66"/>
        <v>0</v>
      </c>
      <c r="S45" s="157">
        <f t="shared" si="67"/>
        <v>0.37345267811563543</v>
      </c>
      <c r="T45" s="38">
        <f t="shared" si="38"/>
        <v>0.9</v>
      </c>
      <c r="U45" s="164">
        <f t="shared" si="39"/>
        <v>0.33610741030407187</v>
      </c>
      <c r="V45" s="158">
        <f t="shared" si="49"/>
        <v>0</v>
      </c>
      <c r="W45" s="157">
        <f t="shared" si="40"/>
        <v>0.33610741030407187</v>
      </c>
      <c r="X45" s="220">
        <f t="shared" si="64"/>
        <v>0.41684064138397486</v>
      </c>
      <c r="Y45" s="221">
        <f t="shared" si="50"/>
        <v>0.37515657724557738</v>
      </c>
      <c r="Z45" s="158">
        <f t="shared" si="41"/>
        <v>0</v>
      </c>
      <c r="AA45" s="158">
        <f t="shared" si="51"/>
        <v>0</v>
      </c>
      <c r="AB45" s="172">
        <f t="shared" si="42"/>
        <v>0.41684064138397486</v>
      </c>
      <c r="AC45" s="158">
        <f t="shared" si="43"/>
        <v>0</v>
      </c>
      <c r="AD45" s="158">
        <f t="shared" si="52"/>
        <v>0</v>
      </c>
      <c r="AE45" s="172">
        <f t="shared" si="53"/>
        <v>0.37515657724557738</v>
      </c>
      <c r="AF45" s="211">
        <f t="shared" si="68"/>
        <v>0.41684064138397486</v>
      </c>
      <c r="AG45" s="213">
        <f t="shared" si="61"/>
        <v>0.37515657724557738</v>
      </c>
      <c r="AH45" s="158">
        <f t="shared" si="44"/>
        <v>0</v>
      </c>
      <c r="AI45" s="158">
        <f t="shared" si="54"/>
        <v>0</v>
      </c>
      <c r="AJ45" s="172">
        <f t="shared" si="45"/>
        <v>0.41684064138397486</v>
      </c>
      <c r="AK45" s="158">
        <f t="shared" si="62"/>
        <v>0</v>
      </c>
      <c r="AL45" s="158">
        <f t="shared" si="55"/>
        <v>0</v>
      </c>
      <c r="AM45" s="172">
        <f t="shared" si="63"/>
        <v>0.37515657724557738</v>
      </c>
      <c r="AN45" s="211">
        <f t="shared" si="46"/>
        <v>0.41684064138397486</v>
      </c>
      <c r="AO45" s="213">
        <f t="shared" si="56"/>
        <v>0.37515657724557738</v>
      </c>
      <c r="AP45" s="173"/>
      <c r="AQ45" s="169">
        <f t="shared" si="57"/>
        <v>0.41684064138397486</v>
      </c>
      <c r="AR45" s="169">
        <f t="shared" si="58"/>
        <v>0.37515657724557738</v>
      </c>
    </row>
    <row r="46" spans="1:44" x14ac:dyDescent="0.3">
      <c r="A46">
        <f t="shared" si="65"/>
        <v>13</v>
      </c>
      <c r="B46" s="41" t="s">
        <v>94</v>
      </c>
      <c r="C46" s="41" t="s">
        <v>80</v>
      </c>
      <c r="D46" s="41"/>
      <c r="E46" s="60">
        <f>'Reference VO 4RP'!N27</f>
        <v>185</v>
      </c>
      <c r="F46" s="61">
        <f>'Reference VO 4RP'!L27</f>
        <v>0</v>
      </c>
      <c r="G46" s="61"/>
      <c r="H46" s="157">
        <f t="shared" si="59"/>
        <v>0</v>
      </c>
      <c r="I46" s="157">
        <f t="shared" si="47"/>
        <v>0</v>
      </c>
      <c r="J46" s="248">
        <f>'Reference VO 4RP'!Q27</f>
        <v>0</v>
      </c>
      <c r="K46" s="248">
        <f>'Reference VO 4RP'!R27</f>
        <v>0</v>
      </c>
      <c r="L46" s="38">
        <f t="shared" si="60"/>
        <v>9.5928218457106376E-2</v>
      </c>
      <c r="M46" s="164">
        <f>'Reference VO 4RP'!O27</f>
        <v>0.53</v>
      </c>
      <c r="N46" s="164">
        <f>'Reference VO 4RP'!P27</f>
        <v>0</v>
      </c>
      <c r="O46" s="157"/>
      <c r="P46" s="38">
        <v>1</v>
      </c>
      <c r="Q46" s="157">
        <f t="shared" si="48"/>
        <v>0.37345267811563543</v>
      </c>
      <c r="R46" s="158">
        <f t="shared" si="66"/>
        <v>0</v>
      </c>
      <c r="S46" s="157">
        <f t="shared" si="67"/>
        <v>0.37345267811563543</v>
      </c>
      <c r="T46" s="38">
        <f t="shared" si="38"/>
        <v>0.9</v>
      </c>
      <c r="U46" s="164">
        <f t="shared" si="39"/>
        <v>0.33610741030407187</v>
      </c>
      <c r="V46" s="158">
        <f t="shared" si="49"/>
        <v>0</v>
      </c>
      <c r="W46" s="157">
        <f t="shared" si="40"/>
        <v>0.33610741030407187</v>
      </c>
      <c r="X46" s="220">
        <f t="shared" si="64"/>
        <v>0.41684064138397486</v>
      </c>
      <c r="Y46" s="221">
        <f t="shared" si="50"/>
        <v>0.37515657724557738</v>
      </c>
      <c r="Z46" s="158">
        <f t="shared" si="41"/>
        <v>0</v>
      </c>
      <c r="AA46" s="158">
        <f t="shared" si="51"/>
        <v>0</v>
      </c>
      <c r="AB46" s="172">
        <f t="shared" si="42"/>
        <v>0.41684064138397486</v>
      </c>
      <c r="AC46" s="158">
        <f t="shared" si="43"/>
        <v>0</v>
      </c>
      <c r="AD46" s="158">
        <f t="shared" si="52"/>
        <v>0</v>
      </c>
      <c r="AE46" s="172">
        <f t="shared" si="53"/>
        <v>0.37515657724557738</v>
      </c>
      <c r="AF46" s="211">
        <f t="shared" si="68"/>
        <v>0.41684064138397486</v>
      </c>
      <c r="AG46" s="213">
        <f t="shared" si="61"/>
        <v>0.37515657724557738</v>
      </c>
      <c r="AH46" s="158">
        <f t="shared" si="44"/>
        <v>0</v>
      </c>
      <c r="AI46" s="158">
        <f t="shared" si="54"/>
        <v>0</v>
      </c>
      <c r="AJ46" s="172">
        <f t="shared" si="45"/>
        <v>0.41684064138397486</v>
      </c>
      <c r="AK46" s="158">
        <f t="shared" si="62"/>
        <v>0</v>
      </c>
      <c r="AL46" s="158">
        <f t="shared" si="55"/>
        <v>0</v>
      </c>
      <c r="AM46" s="172">
        <f t="shared" si="63"/>
        <v>0.37515657724557738</v>
      </c>
      <c r="AN46" s="211">
        <f t="shared" si="46"/>
        <v>0.41684064138397486</v>
      </c>
      <c r="AO46" s="213">
        <f t="shared" si="56"/>
        <v>0.37515657724557738</v>
      </c>
      <c r="AP46" s="173"/>
      <c r="AQ46" s="169">
        <f t="shared" si="57"/>
        <v>0.41684064138397486</v>
      </c>
      <c r="AR46" s="169">
        <f t="shared" si="58"/>
        <v>0.37515657724557738</v>
      </c>
    </row>
    <row r="47" spans="1:44" x14ac:dyDescent="0.3">
      <c r="A47">
        <f t="shared" si="65"/>
        <v>14</v>
      </c>
      <c r="B47" s="41" t="s">
        <v>95</v>
      </c>
      <c r="C47" s="41" t="s">
        <v>80</v>
      </c>
      <c r="D47" s="41"/>
      <c r="E47" s="60">
        <f>'Reference VO 4RP'!N28</f>
        <v>202</v>
      </c>
      <c r="F47" s="61">
        <f>'Reference VO 4RP'!L28</f>
        <v>2378658</v>
      </c>
      <c r="G47" s="61"/>
      <c r="H47" s="157">
        <f t="shared" si="59"/>
        <v>1.818140626362225E-2</v>
      </c>
      <c r="I47" s="157">
        <f t="shared" si="47"/>
        <v>3.6726440652516943</v>
      </c>
      <c r="J47" s="248">
        <f>'Reference VO 4RP'!Q28</f>
        <v>0</v>
      </c>
      <c r="K47" s="248">
        <f>'Reference VO 4RP'!R28</f>
        <v>2378663</v>
      </c>
      <c r="L47" s="38">
        <f t="shared" si="60"/>
        <v>9.5928218457106376E-2</v>
      </c>
      <c r="M47" s="164">
        <f>'Reference VO 4RP'!O28</f>
        <v>0.53</v>
      </c>
      <c r="N47" s="164">
        <f>'Reference VO 4RP'!P28</f>
        <v>0.48</v>
      </c>
      <c r="O47" s="157"/>
      <c r="P47" s="38">
        <v>1</v>
      </c>
      <c r="Q47" s="157">
        <f t="shared" si="48"/>
        <v>0.37345267811563543</v>
      </c>
      <c r="R47" s="158">
        <f t="shared" si="66"/>
        <v>0</v>
      </c>
      <c r="S47" s="157">
        <f t="shared" si="67"/>
        <v>0.37345267811563543</v>
      </c>
      <c r="T47" s="38">
        <f t="shared" si="38"/>
        <v>0.9</v>
      </c>
      <c r="U47" s="164">
        <f t="shared" si="39"/>
        <v>0.33610741030407187</v>
      </c>
      <c r="V47" s="158">
        <f t="shared" si="49"/>
        <v>0</v>
      </c>
      <c r="W47" s="157">
        <f t="shared" si="40"/>
        <v>0.33610741030407187</v>
      </c>
      <c r="X47" s="220">
        <f t="shared" si="64"/>
        <v>0.41684064138397486</v>
      </c>
      <c r="Y47" s="221">
        <f t="shared" si="50"/>
        <v>0.37515657724557738</v>
      </c>
      <c r="Z47" s="158">
        <f t="shared" si="41"/>
        <v>0</v>
      </c>
      <c r="AA47" s="158">
        <f t="shared" si="51"/>
        <v>0</v>
      </c>
      <c r="AB47" s="172">
        <f t="shared" si="42"/>
        <v>0.41684064138397486</v>
      </c>
      <c r="AC47" s="158">
        <f t="shared" si="43"/>
        <v>0</v>
      </c>
      <c r="AD47" s="158">
        <f t="shared" si="52"/>
        <v>0</v>
      </c>
      <c r="AE47" s="172">
        <f t="shared" si="53"/>
        <v>0.37515657724557738</v>
      </c>
      <c r="AF47" s="211">
        <f t="shared" si="68"/>
        <v>0.41684064138397486</v>
      </c>
      <c r="AG47" s="213">
        <f t="shared" si="61"/>
        <v>0.37515657724557738</v>
      </c>
      <c r="AH47" s="158">
        <f t="shared" si="44"/>
        <v>0</v>
      </c>
      <c r="AI47" s="158">
        <f t="shared" si="54"/>
        <v>0</v>
      </c>
      <c r="AJ47" s="172">
        <f t="shared" si="45"/>
        <v>0.41684064138397486</v>
      </c>
      <c r="AK47" s="158">
        <f t="shared" si="62"/>
        <v>0</v>
      </c>
      <c r="AL47" s="158">
        <f t="shared" si="55"/>
        <v>0</v>
      </c>
      <c r="AM47" s="172">
        <f t="shared" si="63"/>
        <v>0.37515657724557738</v>
      </c>
      <c r="AN47" s="211">
        <f t="shared" si="46"/>
        <v>0.41684064138397486</v>
      </c>
      <c r="AO47" s="213">
        <f t="shared" si="56"/>
        <v>0.37515657724557738</v>
      </c>
      <c r="AP47" s="173"/>
      <c r="AQ47" s="169">
        <f t="shared" si="57"/>
        <v>0.41684064138397486</v>
      </c>
      <c r="AR47" s="169">
        <f t="shared" si="58"/>
        <v>0.37515657724557738</v>
      </c>
    </row>
    <row r="48" spans="1:44" x14ac:dyDescent="0.3">
      <c r="A48">
        <f t="shared" si="65"/>
        <v>15</v>
      </c>
      <c r="B48" s="45" t="s">
        <v>96</v>
      </c>
      <c r="C48" s="41" t="s">
        <v>80</v>
      </c>
      <c r="D48" s="41"/>
      <c r="E48" s="60">
        <f>'Reference VO 4RP'!N29</f>
        <v>222</v>
      </c>
      <c r="F48" s="61">
        <f>'Reference VO 4RP'!L29</f>
        <v>0</v>
      </c>
      <c r="G48" s="61"/>
      <c r="H48" s="157">
        <f t="shared" si="59"/>
        <v>0</v>
      </c>
      <c r="I48" s="157">
        <f t="shared" si="47"/>
        <v>0</v>
      </c>
      <c r="J48" s="248">
        <f>'Reference VO 4RP'!Q29</f>
        <v>0</v>
      </c>
      <c r="K48" s="248">
        <f>'Reference VO 4RP'!R29</f>
        <v>0</v>
      </c>
      <c r="L48" s="38">
        <f t="shared" si="60"/>
        <v>9.5928218457106376E-2</v>
      </c>
      <c r="M48" s="164">
        <f>'Reference VO 4RP'!O29</f>
        <v>0.53</v>
      </c>
      <c r="N48" s="164">
        <f>'Reference VO 4RP'!P29</f>
        <v>0</v>
      </c>
      <c r="O48" s="39"/>
      <c r="P48" s="38">
        <v>1</v>
      </c>
      <c r="Q48" s="157">
        <f t="shared" si="48"/>
        <v>0.37345267811563543</v>
      </c>
      <c r="R48" s="158">
        <f t="shared" si="66"/>
        <v>0</v>
      </c>
      <c r="S48" s="157">
        <f t="shared" si="67"/>
        <v>0.37345267811563543</v>
      </c>
      <c r="T48" s="38">
        <f t="shared" si="38"/>
        <v>0.9</v>
      </c>
      <c r="U48" s="164">
        <f t="shared" si="39"/>
        <v>0.33610741030407187</v>
      </c>
      <c r="V48" s="158">
        <f t="shared" si="49"/>
        <v>0</v>
      </c>
      <c r="W48" s="157">
        <f t="shared" si="40"/>
        <v>0.33610741030407187</v>
      </c>
      <c r="X48" s="220">
        <f t="shared" si="64"/>
        <v>0.41684064138397486</v>
      </c>
      <c r="Y48" s="221">
        <f t="shared" si="50"/>
        <v>0.37515657724557738</v>
      </c>
      <c r="Z48" s="158">
        <f t="shared" si="41"/>
        <v>0</v>
      </c>
      <c r="AA48" s="158">
        <f t="shared" si="51"/>
        <v>0</v>
      </c>
      <c r="AB48" s="172">
        <f t="shared" si="42"/>
        <v>0.41684064138397486</v>
      </c>
      <c r="AC48" s="158">
        <f t="shared" si="43"/>
        <v>0</v>
      </c>
      <c r="AD48" s="158">
        <f t="shared" si="52"/>
        <v>0</v>
      </c>
      <c r="AE48" s="172">
        <f t="shared" si="53"/>
        <v>0.37515657724557738</v>
      </c>
      <c r="AF48" s="211">
        <f t="shared" si="68"/>
        <v>0.41684064138397486</v>
      </c>
      <c r="AG48" s="213">
        <f t="shared" si="61"/>
        <v>0.37515657724557738</v>
      </c>
      <c r="AH48" s="158">
        <f t="shared" si="44"/>
        <v>0</v>
      </c>
      <c r="AI48" s="158">
        <f t="shared" si="54"/>
        <v>0</v>
      </c>
      <c r="AJ48" s="172">
        <f t="shared" si="45"/>
        <v>0.41684064138397486</v>
      </c>
      <c r="AK48" s="158">
        <f t="shared" si="62"/>
        <v>0</v>
      </c>
      <c r="AL48" s="158">
        <f t="shared" si="55"/>
        <v>0</v>
      </c>
      <c r="AM48" s="172">
        <f t="shared" si="63"/>
        <v>0.37515657724557738</v>
      </c>
      <c r="AN48" s="211">
        <f t="shared" si="46"/>
        <v>0.41684064138397486</v>
      </c>
      <c r="AO48" s="213">
        <f t="shared" si="56"/>
        <v>0.37515657724557738</v>
      </c>
      <c r="AP48" s="173"/>
      <c r="AQ48" s="169">
        <f t="shared" si="57"/>
        <v>0.41684064138397486</v>
      </c>
      <c r="AR48" s="169">
        <f t="shared" si="58"/>
        <v>0.37515657724557738</v>
      </c>
    </row>
    <row r="49" spans="1:47" x14ac:dyDescent="0.3">
      <c r="A49">
        <f t="shared" si="65"/>
        <v>16</v>
      </c>
      <c r="B49" s="45" t="s">
        <v>97</v>
      </c>
      <c r="C49" s="41" t="s">
        <v>80</v>
      </c>
      <c r="D49" s="41"/>
      <c r="E49" s="60">
        <f>'Reference VO 4RP'!N30</f>
        <v>0</v>
      </c>
      <c r="F49" s="61">
        <f>'Reference VO 4RP'!L30</f>
        <v>21422795</v>
      </c>
      <c r="G49" s="61"/>
      <c r="H49" s="157">
        <f t="shared" si="59"/>
        <v>0.16374633898496355</v>
      </c>
      <c r="I49" s="157">
        <f t="shared" si="47"/>
        <v>0</v>
      </c>
      <c r="J49" s="248">
        <f>'Reference VO 4RP'!Q30</f>
        <v>21422795</v>
      </c>
      <c r="K49" s="248">
        <f>'Reference VO 4RP'!R30</f>
        <v>0</v>
      </c>
      <c r="L49" s="38">
        <f t="shared" si="60"/>
        <v>9.5928218457106376E-2</v>
      </c>
      <c r="M49" s="164">
        <f>'Reference VO 4RP'!O30</f>
        <v>0.53</v>
      </c>
      <c r="N49" s="164">
        <f>'Reference VO 4RP'!P30</f>
        <v>0</v>
      </c>
      <c r="O49" s="39"/>
      <c r="P49" s="38">
        <v>1</v>
      </c>
      <c r="Q49" s="157">
        <f t="shared" si="48"/>
        <v>0.37345267811563543</v>
      </c>
      <c r="R49" s="158">
        <f t="shared" si="66"/>
        <v>0</v>
      </c>
      <c r="S49" s="157">
        <f t="shared" si="67"/>
        <v>0.37345267811563543</v>
      </c>
      <c r="T49" s="38">
        <f t="shared" si="38"/>
        <v>0.9</v>
      </c>
      <c r="U49" s="164">
        <f t="shared" si="39"/>
        <v>0.33610741030407187</v>
      </c>
      <c r="V49" s="158">
        <f t="shared" si="49"/>
        <v>0</v>
      </c>
      <c r="W49" s="157">
        <f t="shared" si="40"/>
        <v>0.33610741030407187</v>
      </c>
      <c r="X49" s="220">
        <f t="shared" si="64"/>
        <v>0.41684064138397486</v>
      </c>
      <c r="Y49" s="221">
        <f t="shared" si="50"/>
        <v>0.37515657724557738</v>
      </c>
      <c r="Z49" s="158">
        <f t="shared" si="41"/>
        <v>0</v>
      </c>
      <c r="AA49" s="158">
        <f t="shared" si="51"/>
        <v>0</v>
      </c>
      <c r="AB49" s="172">
        <f t="shared" si="42"/>
        <v>0.41684064138397486</v>
      </c>
      <c r="AC49" s="158">
        <f t="shared" si="43"/>
        <v>0</v>
      </c>
      <c r="AD49" s="158">
        <f t="shared" si="52"/>
        <v>0</v>
      </c>
      <c r="AE49" s="172">
        <f t="shared" si="53"/>
        <v>0.37515657724557738</v>
      </c>
      <c r="AF49" s="211">
        <f t="shared" si="68"/>
        <v>0.41684064138397486</v>
      </c>
      <c r="AG49" s="213">
        <f t="shared" si="61"/>
        <v>0.37515657724557738</v>
      </c>
      <c r="AH49" s="158">
        <f t="shared" si="44"/>
        <v>0</v>
      </c>
      <c r="AI49" s="158">
        <f t="shared" si="54"/>
        <v>0</v>
      </c>
      <c r="AJ49" s="172">
        <f t="shared" si="45"/>
        <v>0.41684064138397486</v>
      </c>
      <c r="AK49" s="158">
        <f t="shared" si="62"/>
        <v>0</v>
      </c>
      <c r="AL49" s="158">
        <f t="shared" si="55"/>
        <v>0</v>
      </c>
      <c r="AM49" s="172">
        <f t="shared" si="63"/>
        <v>0.37515657724557738</v>
      </c>
      <c r="AN49" s="211">
        <f t="shared" si="46"/>
        <v>0.41684064138397486</v>
      </c>
      <c r="AO49" s="213">
        <f t="shared" si="56"/>
        <v>0.37515657724557738</v>
      </c>
      <c r="AP49" s="173"/>
      <c r="AQ49" s="169">
        <f t="shared" si="57"/>
        <v>0.41684064138397486</v>
      </c>
      <c r="AR49" s="169">
        <f t="shared" si="58"/>
        <v>0.37515657724557738</v>
      </c>
    </row>
    <row r="50" spans="1:47" x14ac:dyDescent="0.3">
      <c r="A50">
        <f t="shared" si="65"/>
        <v>17</v>
      </c>
      <c r="B50" s="45" t="s">
        <v>98</v>
      </c>
      <c r="C50" s="41" t="s">
        <v>80</v>
      </c>
      <c r="D50" s="41"/>
      <c r="E50" s="60">
        <f>'Reference VO 4RP'!N31</f>
        <v>71.84778</v>
      </c>
      <c r="F50" s="61">
        <f>'Reference VO 4RP'!L31</f>
        <v>1111503</v>
      </c>
      <c r="G50" s="61"/>
      <c r="H50" s="157">
        <f t="shared" si="59"/>
        <v>8.4958357217535772E-3</v>
      </c>
      <c r="I50" s="157">
        <f t="shared" si="47"/>
        <v>0.61040693585269223</v>
      </c>
      <c r="J50" s="248">
        <f>'Reference VO 4RP'!Q31</f>
        <v>1111503</v>
      </c>
      <c r="K50" s="248">
        <f>'Reference VO 4RP'!R31</f>
        <v>0</v>
      </c>
      <c r="L50" s="38">
        <f t="shared" si="60"/>
        <v>9.5928218457106376E-2</v>
      </c>
      <c r="M50" s="164">
        <f>'Reference VO 4RP'!O31</f>
        <v>0.53</v>
      </c>
      <c r="N50" s="164">
        <f>'Reference VO 4RP'!P31</f>
        <v>0</v>
      </c>
      <c r="O50" s="39"/>
      <c r="P50" s="38">
        <v>1</v>
      </c>
      <c r="Q50" s="157">
        <f t="shared" si="48"/>
        <v>0.37345267811563543</v>
      </c>
      <c r="R50" s="158">
        <f t="shared" si="66"/>
        <v>0</v>
      </c>
      <c r="S50" s="157">
        <f t="shared" si="67"/>
        <v>0.37345267811563543</v>
      </c>
      <c r="T50" s="38">
        <f t="shared" si="38"/>
        <v>0.9</v>
      </c>
      <c r="U50" s="164">
        <f t="shared" si="39"/>
        <v>0.33610741030407187</v>
      </c>
      <c r="V50" s="158">
        <f t="shared" si="49"/>
        <v>0</v>
      </c>
      <c r="W50" s="157">
        <f t="shared" si="40"/>
        <v>0.33610741030407187</v>
      </c>
      <c r="X50" s="220">
        <f t="shared" si="64"/>
        <v>0.41684064138397486</v>
      </c>
      <c r="Y50" s="221">
        <f t="shared" si="50"/>
        <v>0.37515657724557738</v>
      </c>
      <c r="Z50" s="158">
        <f t="shared" si="41"/>
        <v>0</v>
      </c>
      <c r="AA50" s="158">
        <f t="shared" si="51"/>
        <v>0</v>
      </c>
      <c r="AB50" s="172">
        <f t="shared" si="42"/>
        <v>0.41684064138397486</v>
      </c>
      <c r="AC50" s="158">
        <f t="shared" si="43"/>
        <v>0</v>
      </c>
      <c r="AD50" s="158">
        <f t="shared" si="52"/>
        <v>0</v>
      </c>
      <c r="AE50" s="172">
        <f t="shared" si="53"/>
        <v>0.37515657724557738</v>
      </c>
      <c r="AF50" s="211">
        <f t="shared" si="68"/>
        <v>0.41684064138397486</v>
      </c>
      <c r="AG50" s="213">
        <f t="shared" si="61"/>
        <v>0.37515657724557738</v>
      </c>
      <c r="AH50" s="158">
        <f t="shared" si="44"/>
        <v>0</v>
      </c>
      <c r="AI50" s="158">
        <f t="shared" si="54"/>
        <v>0</v>
      </c>
      <c r="AJ50" s="172">
        <f t="shared" si="45"/>
        <v>0.41684064138397486</v>
      </c>
      <c r="AK50" s="158">
        <f t="shared" si="62"/>
        <v>0</v>
      </c>
      <c r="AL50" s="158">
        <f t="shared" si="55"/>
        <v>0</v>
      </c>
      <c r="AM50" s="172">
        <f t="shared" si="63"/>
        <v>0.37515657724557738</v>
      </c>
      <c r="AN50" s="211">
        <f t="shared" si="46"/>
        <v>0.41684064138397486</v>
      </c>
      <c r="AO50" s="213">
        <f t="shared" si="56"/>
        <v>0.37515657724557738</v>
      </c>
      <c r="AP50" s="173"/>
      <c r="AQ50" s="169">
        <f t="shared" si="57"/>
        <v>0.41684064138397486</v>
      </c>
      <c r="AR50" s="169">
        <f t="shared" si="58"/>
        <v>0.37515657724557738</v>
      </c>
    </row>
    <row r="51" spans="1:47" x14ac:dyDescent="0.3">
      <c r="A51">
        <f t="shared" si="65"/>
        <v>18</v>
      </c>
      <c r="B51" s="45" t="s">
        <v>99</v>
      </c>
      <c r="C51" s="41" t="s">
        <v>80</v>
      </c>
      <c r="D51" s="41"/>
      <c r="E51" s="60">
        <f>'Reference VO 4RP'!N32</f>
        <v>137.48994999999999</v>
      </c>
      <c r="F51" s="61">
        <f>'Reference VO 4RP'!L32</f>
        <v>166731</v>
      </c>
      <c r="G51" s="61"/>
      <c r="H51" s="157">
        <f t="shared" si="59"/>
        <v>1.2744177800003201E-3</v>
      </c>
      <c r="I51" s="157">
        <f t="shared" si="47"/>
        <v>0.175219636851355</v>
      </c>
      <c r="J51" s="248">
        <f>'Reference VO 4RP'!Q32</f>
        <v>166731</v>
      </c>
      <c r="K51" s="248">
        <f>'Reference VO 4RP'!R32</f>
        <v>0</v>
      </c>
      <c r="L51" s="38">
        <f t="shared" si="60"/>
        <v>9.5928218457106376E-2</v>
      </c>
      <c r="M51" s="164">
        <f>'Reference VO 4RP'!O32</f>
        <v>0.53</v>
      </c>
      <c r="N51" s="164">
        <f>'Reference VO 4RP'!P32</f>
        <v>0</v>
      </c>
      <c r="O51" s="39"/>
      <c r="P51" s="38">
        <v>1</v>
      </c>
      <c r="Q51" s="157">
        <f t="shared" si="48"/>
        <v>0.37345267811563543</v>
      </c>
      <c r="R51" s="158">
        <f t="shared" si="66"/>
        <v>0</v>
      </c>
      <c r="S51" s="157">
        <f t="shared" si="67"/>
        <v>0.37345267811563543</v>
      </c>
      <c r="T51" s="38">
        <f t="shared" si="38"/>
        <v>0.9</v>
      </c>
      <c r="U51" s="164">
        <f t="shared" si="39"/>
        <v>0.33610741030407187</v>
      </c>
      <c r="V51" s="158">
        <f t="shared" si="49"/>
        <v>0</v>
      </c>
      <c r="W51" s="157">
        <f t="shared" si="40"/>
        <v>0.33610741030407187</v>
      </c>
      <c r="X51" s="220">
        <f t="shared" si="64"/>
        <v>0.41684064138397486</v>
      </c>
      <c r="Y51" s="221">
        <f t="shared" si="50"/>
        <v>0.37515657724557738</v>
      </c>
      <c r="Z51" s="158">
        <f t="shared" si="41"/>
        <v>0</v>
      </c>
      <c r="AA51" s="158">
        <f t="shared" si="51"/>
        <v>0</v>
      </c>
      <c r="AB51" s="172">
        <f t="shared" si="42"/>
        <v>0.41684064138397486</v>
      </c>
      <c r="AC51" s="158">
        <f t="shared" si="43"/>
        <v>0</v>
      </c>
      <c r="AD51" s="158">
        <f t="shared" si="52"/>
        <v>0</v>
      </c>
      <c r="AE51" s="172">
        <f t="shared" si="53"/>
        <v>0.37515657724557738</v>
      </c>
      <c r="AF51" s="211">
        <f t="shared" si="68"/>
        <v>0.41684064138397486</v>
      </c>
      <c r="AG51" s="213">
        <f t="shared" si="61"/>
        <v>0.37515657724557738</v>
      </c>
      <c r="AH51" s="158">
        <f t="shared" si="44"/>
        <v>0</v>
      </c>
      <c r="AI51" s="158">
        <f t="shared" si="54"/>
        <v>0</v>
      </c>
      <c r="AJ51" s="172">
        <f t="shared" si="45"/>
        <v>0.41684064138397486</v>
      </c>
      <c r="AK51" s="158">
        <f t="shared" si="62"/>
        <v>0</v>
      </c>
      <c r="AL51" s="158">
        <f t="shared" si="55"/>
        <v>0</v>
      </c>
      <c r="AM51" s="172">
        <f t="shared" si="63"/>
        <v>0.37515657724557738</v>
      </c>
      <c r="AN51" s="211">
        <f t="shared" si="46"/>
        <v>0.41684064138397486</v>
      </c>
      <c r="AO51" s="213">
        <f t="shared" si="56"/>
        <v>0.37515657724557738</v>
      </c>
      <c r="AP51" s="173"/>
      <c r="AQ51" s="169">
        <f t="shared" si="57"/>
        <v>0.41684064138397486</v>
      </c>
      <c r="AR51" s="169">
        <f t="shared" si="58"/>
        <v>0.37515657724557738</v>
      </c>
    </row>
    <row r="52" spans="1:47" x14ac:dyDescent="0.3">
      <c r="A52">
        <f t="shared" si="65"/>
        <v>19</v>
      </c>
      <c r="B52" s="45" t="s">
        <v>100</v>
      </c>
      <c r="C52" s="41" t="s">
        <v>80</v>
      </c>
      <c r="D52" s="41"/>
      <c r="E52" s="60">
        <f>'Reference VO 4RP'!N33</f>
        <v>180.23273</v>
      </c>
      <c r="F52" s="61">
        <f>'Reference VO 4RP'!L33</f>
        <v>221439</v>
      </c>
      <c r="G52" s="61"/>
      <c r="H52" s="157">
        <f t="shared" si="59"/>
        <v>1.6925814562708248E-3</v>
      </c>
      <c r="I52" s="157">
        <f t="shared" si="47"/>
        <v>0.30505857661106639</v>
      </c>
      <c r="J52" s="248">
        <f>'Reference VO 4RP'!Q33</f>
        <v>221439</v>
      </c>
      <c r="K52" s="248">
        <f>'Reference VO 4RP'!R33</f>
        <v>0</v>
      </c>
      <c r="L52" s="38">
        <f t="shared" si="60"/>
        <v>9.5928218457106376E-2</v>
      </c>
      <c r="M52" s="164">
        <f>'Reference VO 4RP'!O33</f>
        <v>0.53</v>
      </c>
      <c r="N52" s="164">
        <f>'Reference VO 4RP'!P33</f>
        <v>0</v>
      </c>
      <c r="O52" s="39"/>
      <c r="P52" s="38">
        <v>1</v>
      </c>
      <c r="Q52" s="157">
        <f t="shared" si="48"/>
        <v>0.37345267811563543</v>
      </c>
      <c r="R52" s="158">
        <f t="shared" si="66"/>
        <v>0</v>
      </c>
      <c r="S52" s="157">
        <f t="shared" si="67"/>
        <v>0.37345267811563543</v>
      </c>
      <c r="T52" s="38">
        <f t="shared" si="38"/>
        <v>0.9</v>
      </c>
      <c r="U52" s="164">
        <f t="shared" si="39"/>
        <v>0.33610741030407187</v>
      </c>
      <c r="V52" s="158">
        <f t="shared" si="49"/>
        <v>0</v>
      </c>
      <c r="W52" s="157">
        <f t="shared" si="40"/>
        <v>0.33610741030407187</v>
      </c>
      <c r="X52" s="220">
        <f t="shared" si="64"/>
        <v>0.41684064138397486</v>
      </c>
      <c r="Y52" s="221">
        <f t="shared" si="50"/>
        <v>0.37515657724557738</v>
      </c>
      <c r="Z52" s="158">
        <f t="shared" si="41"/>
        <v>0</v>
      </c>
      <c r="AA52" s="158">
        <f t="shared" si="51"/>
        <v>0</v>
      </c>
      <c r="AB52" s="172">
        <f t="shared" si="42"/>
        <v>0.41684064138397486</v>
      </c>
      <c r="AC52" s="158">
        <f t="shared" si="43"/>
        <v>0</v>
      </c>
      <c r="AD52" s="158">
        <f t="shared" si="52"/>
        <v>0</v>
      </c>
      <c r="AE52" s="172">
        <f t="shared" si="53"/>
        <v>0.37515657724557738</v>
      </c>
      <c r="AF52" s="211">
        <f t="shared" si="68"/>
        <v>0.41684064138397486</v>
      </c>
      <c r="AG52" s="213">
        <f t="shared" si="61"/>
        <v>0.37515657724557738</v>
      </c>
      <c r="AH52" s="158">
        <f t="shared" si="44"/>
        <v>0</v>
      </c>
      <c r="AI52" s="158">
        <f t="shared" si="54"/>
        <v>0</v>
      </c>
      <c r="AJ52" s="172">
        <f t="shared" si="45"/>
        <v>0.41684064138397486</v>
      </c>
      <c r="AK52" s="158">
        <f t="shared" si="62"/>
        <v>0</v>
      </c>
      <c r="AL52" s="158">
        <f t="shared" si="55"/>
        <v>0</v>
      </c>
      <c r="AM52" s="172">
        <f t="shared" si="63"/>
        <v>0.37515657724557738</v>
      </c>
      <c r="AN52" s="211">
        <f t="shared" si="46"/>
        <v>0.41684064138397486</v>
      </c>
      <c r="AO52" s="213">
        <f t="shared" si="56"/>
        <v>0.37515657724557738</v>
      </c>
      <c r="AP52" s="173"/>
      <c r="AQ52" s="169">
        <f t="shared" si="57"/>
        <v>0.41684064138397486</v>
      </c>
      <c r="AR52" s="169">
        <f t="shared" si="58"/>
        <v>0.37515657724557738</v>
      </c>
    </row>
    <row r="53" spans="1:47" x14ac:dyDescent="0.3">
      <c r="A53">
        <f t="shared" si="65"/>
        <v>20</v>
      </c>
      <c r="B53" s="45" t="s">
        <v>101</v>
      </c>
      <c r="C53" s="41" t="s">
        <v>80</v>
      </c>
      <c r="D53" s="41"/>
      <c r="E53" s="60">
        <f>'Reference VO 4RP'!N34</f>
        <v>210.69001</v>
      </c>
      <c r="F53" s="61">
        <f>'Reference VO 4RP'!L34</f>
        <v>1952543</v>
      </c>
      <c r="G53" s="61"/>
      <c r="H53" s="157">
        <f t="shared" si="59"/>
        <v>1.4924372284789062E-2</v>
      </c>
      <c r="I53" s="157">
        <f t="shared" si="47"/>
        <v>3.1444161459259306</v>
      </c>
      <c r="J53" s="248">
        <f>'Reference VO 4RP'!Q34</f>
        <v>1952543</v>
      </c>
      <c r="K53" s="248">
        <f>'Reference VO 4RP'!R34</f>
        <v>0</v>
      </c>
      <c r="L53" s="38">
        <f t="shared" si="60"/>
        <v>9.5928218457106376E-2</v>
      </c>
      <c r="M53" s="164">
        <f>'Reference VO 4RP'!O34</f>
        <v>0.53</v>
      </c>
      <c r="N53" s="164">
        <f>'Reference VO 4RP'!P34</f>
        <v>0</v>
      </c>
      <c r="O53" s="39"/>
      <c r="P53" s="38">
        <v>1</v>
      </c>
      <c r="Q53" s="157">
        <f t="shared" si="48"/>
        <v>0.37345267811563543</v>
      </c>
      <c r="R53" s="158">
        <f t="shared" si="66"/>
        <v>0</v>
      </c>
      <c r="S53" s="157">
        <f t="shared" si="67"/>
        <v>0.37345267811563543</v>
      </c>
      <c r="T53" s="38">
        <f t="shared" si="38"/>
        <v>0.9</v>
      </c>
      <c r="U53" s="164">
        <f t="shared" si="39"/>
        <v>0.33610741030407187</v>
      </c>
      <c r="V53" s="158">
        <f t="shared" si="49"/>
        <v>0</v>
      </c>
      <c r="W53" s="157">
        <f t="shared" si="40"/>
        <v>0.33610741030407187</v>
      </c>
      <c r="X53" s="220">
        <f t="shared" si="64"/>
        <v>0.41684064138397486</v>
      </c>
      <c r="Y53" s="221">
        <f t="shared" si="50"/>
        <v>0.37515657724557738</v>
      </c>
      <c r="Z53" s="158">
        <f t="shared" si="41"/>
        <v>0</v>
      </c>
      <c r="AA53" s="158">
        <f t="shared" si="51"/>
        <v>0</v>
      </c>
      <c r="AB53" s="172">
        <f t="shared" si="42"/>
        <v>0.41684064138397486</v>
      </c>
      <c r="AC53" s="158">
        <f t="shared" si="43"/>
        <v>0</v>
      </c>
      <c r="AD53" s="158">
        <f t="shared" si="52"/>
        <v>0</v>
      </c>
      <c r="AE53" s="172">
        <f t="shared" si="53"/>
        <v>0.37515657724557738</v>
      </c>
      <c r="AF53" s="211">
        <f t="shared" si="68"/>
        <v>0.41684064138397486</v>
      </c>
      <c r="AG53" s="213">
        <f t="shared" si="61"/>
        <v>0.37515657724557738</v>
      </c>
      <c r="AH53" s="158">
        <f t="shared" si="44"/>
        <v>0</v>
      </c>
      <c r="AI53" s="158">
        <f t="shared" si="54"/>
        <v>0</v>
      </c>
      <c r="AJ53" s="172">
        <f t="shared" si="45"/>
        <v>0.41684064138397486</v>
      </c>
      <c r="AK53" s="158">
        <f t="shared" si="62"/>
        <v>0</v>
      </c>
      <c r="AL53" s="158">
        <f t="shared" si="55"/>
        <v>0</v>
      </c>
      <c r="AM53" s="172">
        <f t="shared" si="63"/>
        <v>0.37515657724557738</v>
      </c>
      <c r="AN53" s="211">
        <f t="shared" si="46"/>
        <v>0.41684064138397486</v>
      </c>
      <c r="AO53" s="213">
        <f t="shared" si="56"/>
        <v>0.37515657724557738</v>
      </c>
      <c r="AP53" s="173"/>
      <c r="AQ53" s="169">
        <f t="shared" si="57"/>
        <v>0.41684064138397486</v>
      </c>
      <c r="AR53" s="169">
        <f t="shared" si="58"/>
        <v>0.37515657724557738</v>
      </c>
    </row>
    <row r="54" spans="1:47" x14ac:dyDescent="0.3">
      <c r="A54">
        <f t="shared" si="65"/>
        <v>21</v>
      </c>
      <c r="B54" s="45" t="s">
        <v>102</v>
      </c>
      <c r="C54" s="41" t="s">
        <v>80</v>
      </c>
      <c r="D54" s="41"/>
      <c r="E54" s="60">
        <f>'Reference VO 4RP'!N35</f>
        <v>231.34958</v>
      </c>
      <c r="F54" s="61">
        <f>'Reference VO 4RP'!L35</f>
        <v>110456</v>
      </c>
      <c r="G54" s="61"/>
      <c r="H54" s="157">
        <f t="shared" si="59"/>
        <v>8.4427665105898334E-4</v>
      </c>
      <c r="I54" s="157">
        <f t="shared" si="47"/>
        <v>0.19532304862630234</v>
      </c>
      <c r="J54" s="248">
        <f>'Reference VO 4RP'!Q35</f>
        <v>110456</v>
      </c>
      <c r="K54" s="248">
        <f>'Reference VO 4RP'!R35</f>
        <v>0</v>
      </c>
      <c r="L54" s="38">
        <f t="shared" si="60"/>
        <v>9.5928218457106376E-2</v>
      </c>
      <c r="M54" s="164">
        <f>'Reference VO 4RP'!O35</f>
        <v>0.53</v>
      </c>
      <c r="N54" s="164">
        <f>'Reference VO 4RP'!P35</f>
        <v>0</v>
      </c>
      <c r="O54" s="39"/>
      <c r="P54" s="38">
        <v>1</v>
      </c>
      <c r="Q54" s="157">
        <f t="shared" si="48"/>
        <v>0.37345267811563543</v>
      </c>
      <c r="R54" s="158">
        <f t="shared" si="66"/>
        <v>0</v>
      </c>
      <c r="S54" s="157">
        <f t="shared" si="67"/>
        <v>0.37345267811563543</v>
      </c>
      <c r="T54" s="38">
        <f t="shared" si="38"/>
        <v>0.9</v>
      </c>
      <c r="U54" s="164">
        <f t="shared" si="39"/>
        <v>0.33610741030407187</v>
      </c>
      <c r="V54" s="158">
        <f t="shared" si="49"/>
        <v>0</v>
      </c>
      <c r="W54" s="157">
        <f t="shared" si="40"/>
        <v>0.33610741030407187</v>
      </c>
      <c r="X54" s="220">
        <f t="shared" si="64"/>
        <v>0.41684064138397486</v>
      </c>
      <c r="Y54" s="221">
        <f t="shared" si="50"/>
        <v>0.37515657724557738</v>
      </c>
      <c r="Z54" s="158">
        <f t="shared" si="41"/>
        <v>0</v>
      </c>
      <c r="AA54" s="158">
        <f t="shared" si="51"/>
        <v>0</v>
      </c>
      <c r="AB54" s="172">
        <f t="shared" si="42"/>
        <v>0.41684064138397486</v>
      </c>
      <c r="AC54" s="158">
        <f t="shared" si="43"/>
        <v>0</v>
      </c>
      <c r="AD54" s="158">
        <f t="shared" si="52"/>
        <v>0</v>
      </c>
      <c r="AE54" s="172">
        <f t="shared" si="53"/>
        <v>0.37515657724557738</v>
      </c>
      <c r="AF54" s="211">
        <f t="shared" si="68"/>
        <v>0.41684064138397486</v>
      </c>
      <c r="AG54" s="213">
        <f t="shared" si="61"/>
        <v>0.37515657724557738</v>
      </c>
      <c r="AH54" s="158">
        <f t="shared" si="44"/>
        <v>0</v>
      </c>
      <c r="AI54" s="158">
        <f t="shared" si="54"/>
        <v>0</v>
      </c>
      <c r="AJ54" s="172">
        <f t="shared" si="45"/>
        <v>0.41684064138397486</v>
      </c>
      <c r="AK54" s="158">
        <f t="shared" si="62"/>
        <v>0</v>
      </c>
      <c r="AL54" s="158">
        <f t="shared" si="55"/>
        <v>0</v>
      </c>
      <c r="AM54" s="172">
        <f t="shared" si="63"/>
        <v>0.37515657724557738</v>
      </c>
      <c r="AN54" s="211">
        <f t="shared" si="46"/>
        <v>0.41684064138397486</v>
      </c>
      <c r="AO54" s="213">
        <f t="shared" si="56"/>
        <v>0.37515657724557738</v>
      </c>
      <c r="AP54" s="173"/>
      <c r="AQ54" s="169">
        <f t="shared" si="57"/>
        <v>0.41684064138397486</v>
      </c>
      <c r="AR54" s="169">
        <f t="shared" si="58"/>
        <v>0.37515657724557738</v>
      </c>
    </row>
    <row r="55" spans="1:47" x14ac:dyDescent="0.3">
      <c r="A55">
        <f t="shared" si="65"/>
        <v>22</v>
      </c>
      <c r="B55" s="45" t="s">
        <v>103</v>
      </c>
      <c r="C55" s="41" t="s">
        <v>84</v>
      </c>
      <c r="D55" s="41"/>
      <c r="E55" s="60">
        <f>'Reference VO 4RP'!N36</f>
        <v>268.73602</v>
      </c>
      <c r="F55" s="61">
        <f>'Reference VO 4RP'!L36</f>
        <v>55223</v>
      </c>
      <c r="G55" s="61"/>
      <c r="H55" s="157">
        <f t="shared" si="59"/>
        <v>4.221001077481553E-4</v>
      </c>
      <c r="I55" s="157">
        <f t="shared" si="47"/>
        <v>0.11343350299781042</v>
      </c>
      <c r="J55" s="248">
        <f>'Reference VO 4RP'!Q36</f>
        <v>55223</v>
      </c>
      <c r="K55" s="248">
        <f>'Reference VO 4RP'!R36</f>
        <v>0</v>
      </c>
      <c r="L55" s="38">
        <f t="shared" si="60"/>
        <v>0.88624017147884304</v>
      </c>
      <c r="M55" s="164">
        <f>'Reference VO 4RP'!O36</f>
        <v>4.2</v>
      </c>
      <c r="N55" s="164">
        <f>'Reference VO 4RP'!P36</f>
        <v>0</v>
      </c>
      <c r="O55" s="39"/>
      <c r="P55" s="38">
        <v>1</v>
      </c>
      <c r="Q55" s="157">
        <f t="shared" si="48"/>
        <v>3.4501710843345252</v>
      </c>
      <c r="R55" s="158">
        <f>IF(M55=0,0,IF(Q55&gt;(1+max_increase)*$M55,1,0))</f>
        <v>0</v>
      </c>
      <c r="S55" s="157">
        <f t="shared" si="67"/>
        <v>3.4501710843345252</v>
      </c>
      <c r="T55" s="38">
        <f t="shared" si="38"/>
        <v>0.9</v>
      </c>
      <c r="U55" s="164">
        <f t="shared" si="39"/>
        <v>3.1051539759010729</v>
      </c>
      <c r="V55" s="158">
        <f t="shared" si="49"/>
        <v>0</v>
      </c>
      <c r="W55" s="157">
        <f t="shared" si="40"/>
        <v>3.1051539759010729</v>
      </c>
      <c r="X55" s="220">
        <f t="shared" si="64"/>
        <v>3.8510140961772241</v>
      </c>
      <c r="Y55" s="221">
        <f t="shared" si="50"/>
        <v>3.4659126865595016</v>
      </c>
      <c r="Z55" s="158">
        <f t="shared" si="41"/>
        <v>0</v>
      </c>
      <c r="AA55" s="158">
        <f t="shared" si="51"/>
        <v>0</v>
      </c>
      <c r="AB55" s="172">
        <f t="shared" si="42"/>
        <v>3.8510140961772241</v>
      </c>
      <c r="AC55" s="158">
        <f t="shared" si="43"/>
        <v>0</v>
      </c>
      <c r="AD55" s="158">
        <f t="shared" si="52"/>
        <v>0</v>
      </c>
      <c r="AE55" s="172">
        <f t="shared" si="53"/>
        <v>3.4659126865595016</v>
      </c>
      <c r="AF55" s="211">
        <f t="shared" si="68"/>
        <v>3.8510140961772241</v>
      </c>
      <c r="AG55" s="213">
        <f t="shared" si="61"/>
        <v>3.4659126865595016</v>
      </c>
      <c r="AH55" s="158">
        <f t="shared" si="44"/>
        <v>0</v>
      </c>
      <c r="AI55" s="158">
        <f t="shared" si="54"/>
        <v>0</v>
      </c>
      <c r="AJ55" s="172">
        <f t="shared" si="45"/>
        <v>3.8510140961772241</v>
      </c>
      <c r="AK55" s="158">
        <f t="shared" si="62"/>
        <v>0</v>
      </c>
      <c r="AL55" s="158">
        <f t="shared" si="55"/>
        <v>0</v>
      </c>
      <c r="AM55" s="172">
        <f t="shared" si="63"/>
        <v>3.4659126865595016</v>
      </c>
      <c r="AN55" s="211">
        <f t="shared" si="46"/>
        <v>3.8510140961772241</v>
      </c>
      <c r="AO55" s="213">
        <f t="shared" si="56"/>
        <v>3.4659126865595016</v>
      </c>
      <c r="AP55" s="173"/>
      <c r="AQ55" s="169">
        <f t="shared" si="57"/>
        <v>3.8510140961772241</v>
      </c>
      <c r="AR55" s="169">
        <f t="shared" si="58"/>
        <v>3.4659126865595016</v>
      </c>
    </row>
    <row r="56" spans="1:47" x14ac:dyDescent="0.3">
      <c r="A56">
        <f t="shared" si="65"/>
        <v>23</v>
      </c>
      <c r="B56" s="45" t="s">
        <v>104</v>
      </c>
      <c r="C56" s="41" t="s">
        <v>84</v>
      </c>
      <c r="D56" s="41"/>
      <c r="E56" s="60">
        <f>'Reference VO 4RP'!N37</f>
        <v>300.39652000000001</v>
      </c>
      <c r="F56" s="61">
        <f>'Reference VO 4RP'!L37</f>
        <v>22022</v>
      </c>
      <c r="G56" s="61"/>
      <c r="H56" s="157">
        <f t="shared" si="59"/>
        <v>1.6832639611810072E-4</v>
      </c>
      <c r="I56" s="157">
        <f t="shared" si="47"/>
        <v>5.0564663618018965E-2</v>
      </c>
      <c r="J56" s="248">
        <f>'Reference VO 4RP'!Q37</f>
        <v>22022</v>
      </c>
      <c r="K56" s="248">
        <f>'Reference VO 4RP'!R37</f>
        <v>0</v>
      </c>
      <c r="L56" s="38">
        <f t="shared" si="60"/>
        <v>0.88624017147884304</v>
      </c>
      <c r="M56" s="164">
        <f>'Reference VO 4RP'!O37</f>
        <v>4.2</v>
      </c>
      <c r="N56" s="164">
        <f>'Reference VO 4RP'!P37</f>
        <v>0</v>
      </c>
      <c r="O56" s="39"/>
      <c r="P56" s="38">
        <v>1</v>
      </c>
      <c r="Q56" s="157">
        <f t="shared" si="48"/>
        <v>3.4501710843345252</v>
      </c>
      <c r="R56" s="158">
        <f>IF(M56=0,0,IF(Q56&gt;(1+max_increase)*$M56,1,0))</f>
        <v>0</v>
      </c>
      <c r="S56" s="157">
        <f t="shared" si="67"/>
        <v>3.4501710843345252</v>
      </c>
      <c r="T56" s="38">
        <f t="shared" si="38"/>
        <v>0.9</v>
      </c>
      <c r="U56" s="164">
        <f t="shared" si="39"/>
        <v>3.1051539759010729</v>
      </c>
      <c r="V56" s="158">
        <f t="shared" si="49"/>
        <v>0</v>
      </c>
      <c r="W56" s="157">
        <f t="shared" si="40"/>
        <v>3.1051539759010729</v>
      </c>
      <c r="X56" s="220">
        <f t="shared" si="64"/>
        <v>3.8510140961772241</v>
      </c>
      <c r="Y56" s="221">
        <f t="shared" si="50"/>
        <v>3.4659126865595016</v>
      </c>
      <c r="Z56" s="158">
        <f t="shared" si="41"/>
        <v>0</v>
      </c>
      <c r="AA56" s="158">
        <f t="shared" si="51"/>
        <v>0</v>
      </c>
      <c r="AB56" s="172">
        <f t="shared" si="42"/>
        <v>3.8510140961772241</v>
      </c>
      <c r="AC56" s="158">
        <f t="shared" si="43"/>
        <v>0</v>
      </c>
      <c r="AD56" s="158">
        <f t="shared" si="52"/>
        <v>0</v>
      </c>
      <c r="AE56" s="172">
        <f t="shared" si="53"/>
        <v>3.4659126865595016</v>
      </c>
      <c r="AF56" s="211">
        <f t="shared" si="68"/>
        <v>3.8510140961772241</v>
      </c>
      <c r="AG56" s="213">
        <f t="shared" si="61"/>
        <v>3.4659126865595016</v>
      </c>
      <c r="AH56" s="158">
        <f t="shared" si="44"/>
        <v>0</v>
      </c>
      <c r="AI56" s="158">
        <f t="shared" si="54"/>
        <v>0</v>
      </c>
      <c r="AJ56" s="172">
        <f t="shared" si="45"/>
        <v>3.8510140961772241</v>
      </c>
      <c r="AK56" s="158">
        <f t="shared" si="62"/>
        <v>0</v>
      </c>
      <c r="AL56" s="158">
        <f t="shared" si="55"/>
        <v>0</v>
      </c>
      <c r="AM56" s="172">
        <f t="shared" si="63"/>
        <v>3.4659126865595016</v>
      </c>
      <c r="AN56" s="211">
        <f t="shared" si="46"/>
        <v>3.8510140961772241</v>
      </c>
      <c r="AO56" s="213">
        <f t="shared" si="56"/>
        <v>3.4659126865595016</v>
      </c>
      <c r="AP56" s="173"/>
      <c r="AQ56" s="169">
        <f t="shared" si="57"/>
        <v>3.8510140961772241</v>
      </c>
      <c r="AR56" s="169">
        <f t="shared" si="58"/>
        <v>3.4659126865595016</v>
      </c>
    </row>
    <row r="57" spans="1:47" x14ac:dyDescent="0.3">
      <c r="A57">
        <f t="shared" si="65"/>
        <v>24</v>
      </c>
      <c r="B57" s="45" t="s">
        <v>105</v>
      </c>
      <c r="C57" s="41" t="s">
        <v>84</v>
      </c>
      <c r="D57" s="41"/>
      <c r="E57" s="60">
        <f>'Reference VO 4RP'!N38</f>
        <v>320.51218999999998</v>
      </c>
      <c r="F57" s="61">
        <f>'Reference VO 4RP'!L38</f>
        <v>110087</v>
      </c>
      <c r="G57" s="61"/>
      <c r="H57" s="157">
        <f t="shared" si="59"/>
        <v>8.4145617879635606E-4</v>
      </c>
      <c r="I57" s="157">
        <f t="shared" si="47"/>
        <v>0.26969696265505161</v>
      </c>
      <c r="J57" s="248">
        <f>'Reference VO 4RP'!Q38</f>
        <v>110087</v>
      </c>
      <c r="K57" s="248">
        <f>'Reference VO 4RP'!R38</f>
        <v>0</v>
      </c>
      <c r="L57" s="38">
        <f t="shared" si="60"/>
        <v>0.88624017147884304</v>
      </c>
      <c r="M57" s="164">
        <f>'Reference VO 4RP'!O38</f>
        <v>4.2</v>
      </c>
      <c r="N57" s="164">
        <f>'Reference VO 4RP'!P38</f>
        <v>0</v>
      </c>
      <c r="O57" s="39"/>
      <c r="P57" s="38">
        <v>1</v>
      </c>
      <c r="Q57" s="157">
        <f t="shared" si="48"/>
        <v>3.4501710843345252</v>
      </c>
      <c r="R57" s="158">
        <f>IF(M57=0,0,IF(Q57&gt;(1+max_increase)*$M57,1,0))</f>
        <v>0</v>
      </c>
      <c r="S57" s="157">
        <f t="shared" si="67"/>
        <v>3.4501710843345252</v>
      </c>
      <c r="T57" s="38">
        <f t="shared" si="38"/>
        <v>0.9</v>
      </c>
      <c r="U57" s="164">
        <f t="shared" si="39"/>
        <v>3.1051539759010729</v>
      </c>
      <c r="V57" s="158">
        <f t="shared" si="49"/>
        <v>0</v>
      </c>
      <c r="W57" s="157">
        <f t="shared" si="40"/>
        <v>3.1051539759010729</v>
      </c>
      <c r="X57" s="220">
        <f t="shared" si="64"/>
        <v>3.8510140961772241</v>
      </c>
      <c r="Y57" s="221">
        <f t="shared" si="50"/>
        <v>3.4659126865595016</v>
      </c>
      <c r="Z57" s="158">
        <f t="shared" si="41"/>
        <v>0</v>
      </c>
      <c r="AA57" s="158">
        <f t="shared" si="51"/>
        <v>0</v>
      </c>
      <c r="AB57" s="172">
        <f t="shared" si="42"/>
        <v>3.8510140961772241</v>
      </c>
      <c r="AC57" s="158">
        <f t="shared" si="43"/>
        <v>0</v>
      </c>
      <c r="AD57" s="158">
        <f t="shared" si="52"/>
        <v>0</v>
      </c>
      <c r="AE57" s="172">
        <f t="shared" si="53"/>
        <v>3.4659126865595016</v>
      </c>
      <c r="AF57" s="211">
        <f t="shared" si="68"/>
        <v>3.8510140961772241</v>
      </c>
      <c r="AG57" s="213">
        <f t="shared" si="61"/>
        <v>3.4659126865595016</v>
      </c>
      <c r="AH57" s="158">
        <f t="shared" si="44"/>
        <v>0</v>
      </c>
      <c r="AI57" s="158">
        <f t="shared" si="54"/>
        <v>0</v>
      </c>
      <c r="AJ57" s="172">
        <f t="shared" si="45"/>
        <v>3.8510140961772241</v>
      </c>
      <c r="AK57" s="158">
        <f t="shared" si="62"/>
        <v>0</v>
      </c>
      <c r="AL57" s="158">
        <f t="shared" si="55"/>
        <v>0</v>
      </c>
      <c r="AM57" s="172">
        <f t="shared" si="63"/>
        <v>3.4659126865595016</v>
      </c>
      <c r="AN57" s="211">
        <f t="shared" si="46"/>
        <v>3.8510140961772241</v>
      </c>
      <c r="AO57" s="213">
        <f t="shared" si="56"/>
        <v>3.4659126865595016</v>
      </c>
      <c r="AP57" s="173"/>
      <c r="AQ57" s="169">
        <f t="shared" si="57"/>
        <v>3.8510140961772241</v>
      </c>
      <c r="AR57" s="169">
        <f t="shared" si="58"/>
        <v>3.4659126865595016</v>
      </c>
    </row>
    <row r="58" spans="1:47" x14ac:dyDescent="0.3">
      <c r="A58">
        <f t="shared" si="65"/>
        <v>25</v>
      </c>
      <c r="B58" s="45" t="s">
        <v>106</v>
      </c>
      <c r="C58" s="41" t="s">
        <v>84</v>
      </c>
      <c r="D58" s="41"/>
      <c r="E58" s="60">
        <f>'Reference VO 4RP'!N39</f>
        <v>361.42469</v>
      </c>
      <c r="F58" s="61">
        <f>'Reference VO 4RP'!L39</f>
        <v>284539</v>
      </c>
      <c r="G58" s="61"/>
      <c r="H58" s="157">
        <f t="shared" si="59"/>
        <v>2.1748898567363665E-3</v>
      </c>
      <c r="I58" s="157">
        <f t="shared" si="47"/>
        <v>0.78605889225508563</v>
      </c>
      <c r="J58" s="248">
        <f>'Reference VO 4RP'!Q39</f>
        <v>284539</v>
      </c>
      <c r="K58" s="248">
        <f>'Reference VO 4RP'!R39</f>
        <v>0</v>
      </c>
      <c r="L58" s="38">
        <f t="shared" si="60"/>
        <v>0.88624017147884304</v>
      </c>
      <c r="M58" s="164">
        <f>'Reference VO 4RP'!O39</f>
        <v>4.2</v>
      </c>
      <c r="N58" s="164">
        <f>'Reference VO 4RP'!P39</f>
        <v>0</v>
      </c>
      <c r="O58" s="39"/>
      <c r="P58" s="38">
        <v>1</v>
      </c>
      <c r="Q58" s="157">
        <f t="shared" si="48"/>
        <v>3.4501710843345252</v>
      </c>
      <c r="R58" s="158">
        <f>IF(M58=0,0,IF(Q58&gt;(1+max_increase)*$M58,1,0))</f>
        <v>0</v>
      </c>
      <c r="S58" s="157">
        <f t="shared" si="67"/>
        <v>3.4501710843345252</v>
      </c>
      <c r="T58" s="38">
        <f t="shared" si="38"/>
        <v>0.9</v>
      </c>
      <c r="U58" s="164">
        <f t="shared" si="39"/>
        <v>3.1051539759010729</v>
      </c>
      <c r="V58" s="158">
        <f t="shared" si="49"/>
        <v>0</v>
      </c>
      <c r="W58" s="157">
        <f t="shared" si="40"/>
        <v>3.1051539759010729</v>
      </c>
      <c r="X58" s="220">
        <f t="shared" si="64"/>
        <v>3.8510140961772241</v>
      </c>
      <c r="Y58" s="221">
        <f t="shared" si="50"/>
        <v>3.4659126865595016</v>
      </c>
      <c r="Z58" s="158">
        <f t="shared" si="41"/>
        <v>0</v>
      </c>
      <c r="AA58" s="158">
        <f t="shared" si="51"/>
        <v>0</v>
      </c>
      <c r="AB58" s="172">
        <f t="shared" si="42"/>
        <v>3.8510140961772241</v>
      </c>
      <c r="AC58" s="158">
        <f t="shared" si="43"/>
        <v>0</v>
      </c>
      <c r="AD58" s="158">
        <f t="shared" si="52"/>
        <v>0</v>
      </c>
      <c r="AE58" s="172">
        <f t="shared" si="53"/>
        <v>3.4659126865595016</v>
      </c>
      <c r="AF58" s="211">
        <f t="shared" si="68"/>
        <v>3.8510140961772241</v>
      </c>
      <c r="AG58" s="213">
        <f t="shared" si="61"/>
        <v>3.4659126865595016</v>
      </c>
      <c r="AH58" s="158">
        <f t="shared" si="44"/>
        <v>0</v>
      </c>
      <c r="AI58" s="158">
        <f t="shared" si="54"/>
        <v>0</v>
      </c>
      <c r="AJ58" s="172">
        <f t="shared" si="45"/>
        <v>3.8510140961772241</v>
      </c>
      <c r="AK58" s="158">
        <f t="shared" si="62"/>
        <v>0</v>
      </c>
      <c r="AL58" s="158">
        <f t="shared" si="55"/>
        <v>0</v>
      </c>
      <c r="AM58" s="172">
        <f t="shared" si="63"/>
        <v>3.4659126865595016</v>
      </c>
      <c r="AN58" s="211">
        <f t="shared" si="46"/>
        <v>3.8510140961772241</v>
      </c>
      <c r="AO58" s="213">
        <f t="shared" si="56"/>
        <v>3.4659126865595016</v>
      </c>
      <c r="AP58" s="173"/>
      <c r="AQ58" s="169">
        <f t="shared" si="57"/>
        <v>3.8510140961772241</v>
      </c>
      <c r="AR58" s="169">
        <f t="shared" si="58"/>
        <v>3.4659126865595016</v>
      </c>
    </row>
    <row r="59" spans="1:47" x14ac:dyDescent="0.3">
      <c r="A59">
        <v>26</v>
      </c>
      <c r="B59" s="41" t="s">
        <v>75</v>
      </c>
      <c r="C59" s="157"/>
      <c r="D59" s="157"/>
      <c r="E59" s="39"/>
      <c r="F59" s="39"/>
      <c r="G59" s="39"/>
      <c r="H59" s="39"/>
      <c r="I59" s="39"/>
      <c r="J59" s="50"/>
      <c r="K59" s="50"/>
      <c r="L59" s="153"/>
      <c r="M59" s="183"/>
      <c r="N59" s="184"/>
      <c r="O59" s="39"/>
      <c r="P59" s="39"/>
      <c r="Q59" s="39"/>
      <c r="R59" s="39"/>
      <c r="S59" s="39"/>
      <c r="T59" s="39"/>
      <c r="U59" s="39"/>
      <c r="V59" s="39"/>
      <c r="W59" s="39"/>
      <c r="X59" s="220">
        <f>X43</f>
        <v>0.41684064138397486</v>
      </c>
      <c r="Y59" s="221">
        <f>Y43</f>
        <v>0.37515657724557738</v>
      </c>
      <c r="Z59" s="41"/>
      <c r="AA59" s="191"/>
      <c r="AB59" s="60">
        <f>AB43</f>
        <v>0.41684064138397486</v>
      </c>
      <c r="AC59" s="41"/>
      <c r="AD59" s="41"/>
      <c r="AE59" s="60">
        <f>AE43</f>
        <v>0.37515657724557738</v>
      </c>
      <c r="AF59" s="220">
        <f>AF43</f>
        <v>0.41684064138397486</v>
      </c>
      <c r="AG59" s="221">
        <f>AG43</f>
        <v>0.37515657724557738</v>
      </c>
      <c r="AH59" s="41"/>
      <c r="AI59" s="191"/>
      <c r="AJ59" s="60">
        <f>AJ43</f>
        <v>0.41684064138397486</v>
      </c>
      <c r="AK59" s="41"/>
      <c r="AL59" s="41"/>
      <c r="AM59" s="60">
        <f>AM43</f>
        <v>0.37515657724557738</v>
      </c>
      <c r="AN59" s="220">
        <f>AN43</f>
        <v>0.41684064138397486</v>
      </c>
      <c r="AO59" s="221">
        <f>AO43</f>
        <v>0.37515657724557738</v>
      </c>
      <c r="AP59" s="60"/>
      <c r="AQ59" s="169">
        <f t="shared" ref="AQ59:AQ60" si="69">IFERROR(MAX(AN59,0),0)</f>
        <v>0.41684064138397486</v>
      </c>
      <c r="AR59" s="169">
        <f t="shared" ref="AR59:AR60" si="70">IFERROR(MAX(AO59,0),0)</f>
        <v>0.37515657724557738</v>
      </c>
    </row>
    <row r="60" spans="1:47" x14ac:dyDescent="0.3">
      <c r="A60">
        <v>27</v>
      </c>
      <c r="B60" s="41" t="s">
        <v>76</v>
      </c>
      <c r="C60" s="157"/>
      <c r="D60" s="157"/>
      <c r="E60" s="39"/>
      <c r="F60" s="39"/>
      <c r="G60" s="39"/>
      <c r="H60" s="39"/>
      <c r="I60" s="39"/>
      <c r="J60" s="50"/>
      <c r="K60" s="50"/>
      <c r="L60" s="153"/>
      <c r="M60" s="183"/>
      <c r="N60" s="184"/>
      <c r="O60" s="39"/>
      <c r="P60" s="39"/>
      <c r="Q60" s="39"/>
      <c r="R60" s="39"/>
      <c r="S60" s="39"/>
      <c r="T60" s="39"/>
      <c r="U60" s="39"/>
      <c r="V60" s="39"/>
      <c r="W60" s="39"/>
      <c r="X60" s="220">
        <f>X55</f>
        <v>3.8510140961772241</v>
      </c>
      <c r="Y60" s="221">
        <f>Y55</f>
        <v>3.4659126865595016</v>
      </c>
      <c r="Z60" s="41"/>
      <c r="AA60" s="191"/>
      <c r="AB60" s="60">
        <f>AB55</f>
        <v>3.8510140961772241</v>
      </c>
      <c r="AC60" s="41"/>
      <c r="AD60" s="41"/>
      <c r="AE60" s="60">
        <f>AE55</f>
        <v>3.4659126865595016</v>
      </c>
      <c r="AF60" s="220">
        <f>AF55</f>
        <v>3.8510140961772241</v>
      </c>
      <c r="AG60" s="221">
        <f>AG55</f>
        <v>3.4659126865595016</v>
      </c>
      <c r="AH60" s="41"/>
      <c r="AI60" s="191"/>
      <c r="AJ60" s="60">
        <f>AJ55</f>
        <v>3.8510140961772241</v>
      </c>
      <c r="AK60" s="41"/>
      <c r="AL60" s="41"/>
      <c r="AM60" s="60">
        <f>AM55</f>
        <v>3.4659126865595016</v>
      </c>
      <c r="AN60" s="220">
        <f>AN55</f>
        <v>3.8510140961772241</v>
      </c>
      <c r="AO60" s="221">
        <f>AO55</f>
        <v>3.4659126865595016</v>
      </c>
      <c r="AP60" s="60"/>
      <c r="AQ60" s="169">
        <f t="shared" si="69"/>
        <v>3.8510140961772241</v>
      </c>
      <c r="AR60" s="169">
        <f t="shared" si="70"/>
        <v>3.4659126865595016</v>
      </c>
    </row>
    <row r="61" spans="1:47" x14ac:dyDescent="0.3">
      <c r="C61" s="28"/>
      <c r="D61" s="28"/>
      <c r="E61" s="27"/>
      <c r="F61" s="28"/>
      <c r="G61" s="28"/>
      <c r="H61" s="28"/>
      <c r="I61" s="26"/>
      <c r="J61" s="42"/>
      <c r="K61" s="42"/>
      <c r="L61" s="154"/>
      <c r="M61" s="29"/>
      <c r="R61" s="18" t="s">
        <v>177</v>
      </c>
      <c r="S61" s="56">
        <f>SUMPRODUCT(S34:S58,$J34:$J58)</f>
        <v>271299510.72362947</v>
      </c>
      <c r="V61" s="18"/>
      <c r="W61" s="56">
        <f>SUMPRODUCT(W34:W58,$K34:$K58)</f>
        <v>19351222.601126563</v>
      </c>
      <c r="X61" s="222">
        <f>SUMPRODUCT(X34:X58,$J$34:$J$58)</f>
        <v>299936758.32280076</v>
      </c>
      <c r="Y61" s="223">
        <f>SUMPRODUCT(Y34:Y58,$K$34:$K$58)</f>
        <v>21599459.619138155</v>
      </c>
      <c r="Z61" s="158"/>
      <c r="AA61" s="158"/>
      <c r="AB61" s="56">
        <f>SUMPRODUCT(AB34:AB58,$J34:$J58)</f>
        <v>299936758.32280076</v>
      </c>
      <c r="AC61" s="158"/>
      <c r="AD61" s="158"/>
      <c r="AE61" s="56">
        <f>SUMPRODUCT(AE34:AE58,K34:K58)</f>
        <v>21599459.619138155</v>
      </c>
      <c r="AF61" s="222">
        <f>SUMPRODUCT(AF34:AF58,$J34:$J58)</f>
        <v>299936758.32280076</v>
      </c>
      <c r="AG61" s="223">
        <f>SUMPRODUCT(AG34:AG58,$K$34:$K$58)</f>
        <v>21599459.619138155</v>
      </c>
      <c r="AH61" s="158"/>
      <c r="AI61" s="158"/>
      <c r="AJ61" s="56">
        <f>SUMPRODUCT(AJ34:AJ58,$J34:$J58)</f>
        <v>299936758.32280076</v>
      </c>
      <c r="AK61" s="158"/>
      <c r="AL61" s="158"/>
      <c r="AM61" s="56">
        <f>SUMPRODUCT(AM34:AM58,$K$34:$K$58)</f>
        <v>21599459.619138155</v>
      </c>
      <c r="AN61" s="222">
        <f>SUMPRODUCT(AN34:AN58,$J34:$J58)</f>
        <v>299936758.32280076</v>
      </c>
      <c r="AO61" s="223">
        <f>SUMPRODUCT(AO34:AO58,$K$34:$K$58)</f>
        <v>21599459.619138155</v>
      </c>
      <c r="AP61" s="56"/>
      <c r="AQ61" s="158"/>
      <c r="AR61" s="158"/>
    </row>
    <row r="62" spans="1:47" ht="15" thickBot="1" x14ac:dyDescent="0.35">
      <c r="A62" s="22" t="s">
        <v>109</v>
      </c>
      <c r="J62" s="42"/>
      <c r="L62" s="154"/>
      <c r="W62" s="34">
        <f>S61+W61-$C$73</f>
        <v>-11210281.543393791</v>
      </c>
      <c r="X62" s="207"/>
      <c r="Y62" s="208">
        <f>X61+Y61-$C$73</f>
        <v>19675203.07378912</v>
      </c>
      <c r="Z62" s="158"/>
      <c r="AA62" s="158"/>
      <c r="AB62" s="34">
        <f>AE61+AB61-X61-Y61</f>
        <v>0</v>
      </c>
      <c r="AC62" s="192"/>
      <c r="AD62" s="192"/>
      <c r="AE62" s="34"/>
      <c r="AF62" s="224"/>
      <c r="AG62" s="208">
        <f>AF61+AG61-$C$73</f>
        <v>19675203.07378912</v>
      </c>
      <c r="AH62" s="158"/>
      <c r="AI62" s="158"/>
      <c r="AJ62" s="34">
        <f>AM61+AJ61-AF61-AG61</f>
        <v>0</v>
      </c>
      <c r="AK62" s="192"/>
      <c r="AL62" s="192"/>
      <c r="AM62" s="34"/>
      <c r="AN62" s="224"/>
      <c r="AO62" s="208">
        <f>AN61+AO61-$C$73</f>
        <v>19675203.07378912</v>
      </c>
      <c r="AP62" s="34"/>
      <c r="AQ62" s="55"/>
      <c r="AR62" s="55"/>
    </row>
    <row r="63" spans="1:47" ht="43.8" thickBot="1" x14ac:dyDescent="0.35">
      <c r="A63" s="24" t="s">
        <v>48</v>
      </c>
      <c r="B63" s="24" t="s">
        <v>114</v>
      </c>
      <c r="C63" s="24" t="str">
        <f>+F33</f>
        <v>Relevant technical capacity (TVK)</v>
      </c>
      <c r="D63" s="24"/>
      <c r="E63" s="24" t="s">
        <v>63</v>
      </c>
      <c r="F63" s="24" t="s">
        <v>64</v>
      </c>
      <c r="G63" s="24"/>
      <c r="H63" s="245" t="s">
        <v>53</v>
      </c>
      <c r="I63" s="245" t="s">
        <v>54</v>
      </c>
      <c r="J63" s="42"/>
      <c r="Q63" s="373" t="s">
        <v>214</v>
      </c>
      <c r="R63" s="373"/>
      <c r="S63" s="373"/>
      <c r="T63" s="373"/>
      <c r="U63" s="373"/>
      <c r="V63" s="373"/>
      <c r="W63" s="373"/>
      <c r="X63" s="373"/>
      <c r="Y63" s="373"/>
      <c r="Z63" s="193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</row>
    <row r="64" spans="1:47" ht="15" thickBot="1" x14ac:dyDescent="0.35">
      <c r="A64">
        <f>1</f>
        <v>1</v>
      </c>
      <c r="B64" t="s">
        <v>83</v>
      </c>
      <c r="C64" s="49">
        <f>SUMIF($C$34:$C$58,$B64,F$34:F$58)</f>
        <v>50014969</v>
      </c>
      <c r="D64" s="49"/>
      <c r="E64" s="34">
        <f>+SUMPRODUCT(($C$34:$C$58=B64)*$E$34:$E$58*$F$34:$F$58)/C64</f>
        <v>381.59447</v>
      </c>
      <c r="F64" s="26">
        <f>E64/$E$34</f>
        <v>1</v>
      </c>
      <c r="G64" s="26"/>
      <c r="H64" s="246">
        <f>SUMIF($C$34:$C$58,$B64,J$34:J$58)</f>
        <v>48558893.100000009</v>
      </c>
      <c r="I64" s="246">
        <f>SUMIF($C$34:$C$58,$B64,K$34:K$58)</f>
        <v>0</v>
      </c>
      <c r="J64" s="42"/>
      <c r="Q64" s="194"/>
      <c r="R64" s="193"/>
      <c r="S64" s="193"/>
      <c r="T64" s="195" t="s">
        <v>184</v>
      </c>
      <c r="U64" s="196">
        <f>W62+W20</f>
        <v>-32309572.736700222</v>
      </c>
      <c r="V64" s="193"/>
      <c r="W64" s="197">
        <f>Y62+Y20</f>
        <v>7.4505805969238281E-8</v>
      </c>
      <c r="X64" s="198" t="b">
        <f>ABS(W64)&lt;0.001</f>
        <v>1</v>
      </c>
      <c r="Y64" s="198"/>
      <c r="Z64" s="193"/>
      <c r="AA64" s="194"/>
      <c r="AB64" s="193"/>
      <c r="AC64" s="195" t="s">
        <v>184</v>
      </c>
      <c r="AD64" s="196">
        <f>AB62+AB20</f>
        <v>0</v>
      </c>
      <c r="AE64" s="63"/>
      <c r="AF64" s="197">
        <f>AG62+AG20</f>
        <v>7.4505805969238281E-8</v>
      </c>
      <c r="AG64" s="198" t="b">
        <f>ABS(AF64)&lt;0.001</f>
        <v>1</v>
      </c>
      <c r="AH64" s="193"/>
      <c r="AI64" s="194"/>
      <c r="AJ64" s="193"/>
      <c r="AK64" s="195" t="s">
        <v>184</v>
      </c>
      <c r="AL64" s="196">
        <f>AJ62+AJ20</f>
        <v>0</v>
      </c>
      <c r="AM64" s="63"/>
      <c r="AN64" s="197">
        <f>AO62+AO20</f>
        <v>7.4505805969238281E-8</v>
      </c>
      <c r="AO64" s="198" t="b">
        <f>ABS(AN64)&lt;0.001</f>
        <v>1</v>
      </c>
      <c r="AP64" s="198"/>
      <c r="AQ64" s="198"/>
      <c r="AR64" s="170"/>
      <c r="AS64" s="171"/>
      <c r="AT64" s="171"/>
      <c r="AU64" s="171"/>
    </row>
    <row r="65" spans="1:47" ht="15" thickBot="1" x14ac:dyDescent="0.35">
      <c r="A65">
        <v>2</v>
      </c>
      <c r="B65" t="s">
        <v>79</v>
      </c>
      <c r="C65" s="49">
        <f t="shared" ref="C65:C70" si="71">SUMIF($C$34:$C$58,$B65,F$34:F$58)</f>
        <v>4688610</v>
      </c>
      <c r="D65" s="49"/>
      <c r="E65" s="34">
        <f>+SUMPRODUCT(($C$34:$C$58=B65)*$E$34:$E$58*$F$34:$F$58)/C65</f>
        <v>238</v>
      </c>
      <c r="F65" s="26">
        <f>E65/$E$34</f>
        <v>0.62369876586523909</v>
      </c>
      <c r="G65" s="26"/>
      <c r="H65" s="246">
        <f>SUMIF($C$34:$C$58,$B65,J$34:J$58)</f>
        <v>3382423.6799999997</v>
      </c>
      <c r="I65" s="246">
        <f t="shared" ref="H65:I70" si="72">SUMIF($C$34:$C$58,$B65,K$34:K$58)</f>
        <v>0</v>
      </c>
      <c r="J65" s="42"/>
      <c r="Q65" s="43"/>
      <c r="T65" s="160" t="s">
        <v>180</v>
      </c>
      <c r="U65" s="161">
        <f>1-U64/(SUMPRODUCT((1-R9:R18)*S9:S18*J9:J18)+SUMPRODUCT((1-V9:V18)*W9:W18*K9:K18)+SUMPRODUCT((1-R34:R58)*S34:S58*J34:J58)+SUMPRODUCT((1-V34:V58)*W34:W58*K34:K58))</f>
        <v>1.1161806188866179</v>
      </c>
      <c r="AA65" s="43"/>
      <c r="AC65" s="160" t="s">
        <v>180</v>
      </c>
      <c r="AD65" s="174">
        <f>1-AD64/(SUMPRODUCT((1-AA9:AA18)*AB9:AB18*J9:J18)+SUMPRODUCT((1-AD9:AD18)*AE9:AE18*K9:K18)+SUMPRODUCT((1-AA34:AA58)*AB34:AB58*J34:J58)+SUMPRODUCT((1-AD34:AD58)*AE34:AE58*K34:K58))</f>
        <v>1</v>
      </c>
      <c r="AI65" s="43"/>
      <c r="AK65" s="160" t="s">
        <v>180</v>
      </c>
      <c r="AL65" s="225">
        <f>1-AL64/(SUMPRODUCT((1-AI9:AI18)*AJ9:AJ18*J9:J18)+SUMPRODUCT((1-AL9:AL18)*AM9:AM18*K9:K18)+SUMPRODUCT((1-AI34:AI58)*AJ34:AJ58*J34:J58)+SUMPRODUCT((1-AL34:AL58)*AM34:AM58*K34:K58))</f>
        <v>1</v>
      </c>
      <c r="AR65" s="171"/>
      <c r="AS65" s="171"/>
      <c r="AT65" s="171"/>
      <c r="AU65" s="171"/>
    </row>
    <row r="66" spans="1:47" x14ac:dyDescent="0.3">
      <c r="A66">
        <v>3</v>
      </c>
      <c r="B66" t="str">
        <f>+C35</f>
        <v>Exit East</v>
      </c>
      <c r="C66" s="49">
        <f t="shared" si="71"/>
        <v>17769300</v>
      </c>
      <c r="D66" s="49"/>
      <c r="E66" s="34">
        <f>+SUMPRODUCT(($C$34:$C$58=B66)*$E$34:$E$58*$F$34:$F$58)/C66</f>
        <v>158.67309348145398</v>
      </c>
      <c r="F66" s="26">
        <f t="shared" ref="F66:F70" si="73">E66/$E$34</f>
        <v>0.41581601924538891</v>
      </c>
      <c r="G66" s="26"/>
      <c r="H66" s="246">
        <f t="shared" si="72"/>
        <v>11814771.27</v>
      </c>
      <c r="I66" s="246">
        <f t="shared" si="72"/>
        <v>0</v>
      </c>
      <c r="J66" s="42"/>
      <c r="AC66" s="163"/>
    </row>
    <row r="67" spans="1:47" x14ac:dyDescent="0.3">
      <c r="A67">
        <v>5</v>
      </c>
      <c r="B67" t="s">
        <v>78</v>
      </c>
      <c r="C67" s="49">
        <f t="shared" si="71"/>
        <v>15660325</v>
      </c>
      <c r="D67" s="49"/>
      <c r="E67" s="34">
        <f>+SUMPRODUCT(($C$34:$C$58=B67)*$E$34:$E$58*$F$34:$F$58)/C67</f>
        <v>286.12312643575405</v>
      </c>
      <c r="F67" s="26">
        <f t="shared" si="73"/>
        <v>0.74980941530875445</v>
      </c>
      <c r="G67" s="26"/>
      <c r="H67" s="246">
        <f t="shared" si="72"/>
        <v>15925865.369999999</v>
      </c>
      <c r="I67" s="246">
        <f t="shared" si="72"/>
        <v>6468513.7799999993</v>
      </c>
      <c r="J67" s="42"/>
      <c r="T67" s="18" t="s">
        <v>186</v>
      </c>
      <c r="U67" s="27">
        <f>SUM(Overview!M8:M13,Overview!M20,Overview!M22,Overview!M29:M30)*1000+SUM(Overview!M44:M45,Overview!M49)*1000</f>
        <v>83619507.181199998</v>
      </c>
      <c r="V67" s="43">
        <f>U67/U69</f>
        <v>0.20622113659017899</v>
      </c>
      <c r="W67" s="27"/>
      <c r="X67" s="43"/>
      <c r="AC67" s="18"/>
      <c r="AD67" s="27"/>
      <c r="AE67" s="43"/>
      <c r="AK67" s="18"/>
      <c r="AL67" s="27"/>
      <c r="AM67" s="43"/>
    </row>
    <row r="68" spans="1:47" x14ac:dyDescent="0.3">
      <c r="A68">
        <v>6</v>
      </c>
      <c r="B68" t="s">
        <v>80</v>
      </c>
      <c r="C68" s="49">
        <f t="shared" si="71"/>
        <v>31999754</v>
      </c>
      <c r="D68" s="49"/>
      <c r="E68" s="34">
        <f t="shared" ref="E68" si="74">+SUMPRODUCT(($C$34:$C$58=B68)*$E$34:$E$58*$F$34:$F$58)/C68</f>
        <v>36.605677680183724</v>
      </c>
      <c r="F68" s="26">
        <f t="shared" si="73"/>
        <v>9.5928218457106376E-2</v>
      </c>
      <c r="G68" s="26"/>
      <c r="H68" s="246">
        <f>SUMIF($C$34:$C$58,$B68,J$34:J$58)</f>
        <v>24985467</v>
      </c>
      <c r="I68" s="246">
        <f t="shared" si="72"/>
        <v>7014292</v>
      </c>
      <c r="J68" s="42"/>
      <c r="U68" s="27">
        <f>SUM(Overview!M14:'Overview'!M19,Overview!M21,Overview!M23:'Overview'!M25,Overview!M28,Overview!M31)*1000+SUM(Overview!M46:M48)*1000</f>
        <v>321865151.49070001</v>
      </c>
      <c r="V68" s="43">
        <f>1-V67</f>
        <v>0.79377886340982107</v>
      </c>
      <c r="W68" s="27"/>
      <c r="X68" s="43"/>
      <c r="AC68" s="163"/>
      <c r="AD68" s="27"/>
      <c r="AE68" s="43"/>
      <c r="AL68" s="27"/>
      <c r="AM68" s="43"/>
    </row>
    <row r="69" spans="1:47" x14ac:dyDescent="0.3">
      <c r="A69">
        <v>7</v>
      </c>
      <c r="B69" t="s">
        <v>84</v>
      </c>
      <c r="C69" s="49">
        <f t="shared" si="71"/>
        <v>471871</v>
      </c>
      <c r="D69" s="49"/>
      <c r="E69" s="34">
        <f>+SUMPRODUCT(($C$34:$C$58=B69)*$E$34:$E$58*$F$34:$F$58)/C69</f>
        <v>338.18434852817825</v>
      </c>
      <c r="F69" s="26">
        <f t="shared" si="73"/>
        <v>0.88624017147884304</v>
      </c>
      <c r="G69" s="26"/>
      <c r="H69" s="246">
        <f t="shared" si="72"/>
        <v>471871</v>
      </c>
      <c r="I69" s="246">
        <f t="shared" si="72"/>
        <v>0</v>
      </c>
      <c r="J69" s="42"/>
      <c r="U69" s="27">
        <f>U68+U67</f>
        <v>405484658.67190003</v>
      </c>
      <c r="W69" s="27"/>
      <c r="AC69" s="163"/>
      <c r="AD69" s="27"/>
      <c r="AL69" s="27"/>
    </row>
    <row r="70" spans="1:47" ht="15" thickBot="1" x14ac:dyDescent="0.35">
      <c r="A70">
        <v>8</v>
      </c>
      <c r="B70" t="s">
        <v>82</v>
      </c>
      <c r="C70" s="49">
        <f t="shared" si="71"/>
        <v>10224325</v>
      </c>
      <c r="D70" s="49"/>
      <c r="E70" s="34">
        <f>+SUMPRODUCT(($C$34:$C$58=B70)*$E$34:$E$58*$F$34:$F$58)/C70</f>
        <v>97.817953752448204</v>
      </c>
      <c r="F70" s="26">
        <f t="shared" si="73"/>
        <v>0.25634007157506294</v>
      </c>
      <c r="G70" s="26"/>
      <c r="H70" s="246">
        <f t="shared" si="72"/>
        <v>8700218</v>
      </c>
      <c r="I70" s="246">
        <f t="shared" si="72"/>
        <v>0</v>
      </c>
      <c r="J70" s="42"/>
      <c r="AB70" s="27"/>
      <c r="AJ70" s="27"/>
    </row>
    <row r="71" spans="1:47" ht="15" thickBot="1" x14ac:dyDescent="0.35">
      <c r="H71" s="27"/>
      <c r="I71" s="27"/>
      <c r="J71" s="42"/>
      <c r="K71" s="250">
        <f>SUM(J34:K58)</f>
        <v>127322315.2</v>
      </c>
    </row>
    <row r="72" spans="1:47" x14ac:dyDescent="0.3">
      <c r="B72" s="18" t="s">
        <v>228</v>
      </c>
      <c r="C72" s="40">
        <f>1-EX_split_entry_theor</f>
        <v>0.74547241709011836</v>
      </c>
      <c r="D72" s="40"/>
      <c r="T72" s="18"/>
      <c r="U72" s="27"/>
      <c r="V72" s="43"/>
      <c r="X72" s="39"/>
    </row>
    <row r="73" spans="1:47" x14ac:dyDescent="0.3">
      <c r="B73" s="18" t="s">
        <v>222</v>
      </c>
      <c r="C73" s="181">
        <f>costs_capacity-C27</f>
        <v>301861014.86814982</v>
      </c>
      <c r="D73" s="181"/>
      <c r="U73" s="27"/>
      <c r="V73" s="43"/>
    </row>
    <row r="74" spans="1:47" x14ac:dyDescent="0.3">
      <c r="B74" s="18" t="s">
        <v>223</v>
      </c>
      <c r="C74" s="181">
        <f>P3-C28</f>
        <v>301861014.86814982</v>
      </c>
      <c r="D74" s="181"/>
      <c r="U74" s="27"/>
    </row>
    <row r="75" spans="1:47" x14ac:dyDescent="0.3">
      <c r="B75" s="18" t="s">
        <v>284</v>
      </c>
      <c r="C75" s="49">
        <f>C74/(SUMPRODUCT($F$64:$F$70,$H$64:$H$70)+SUMPRODUCT($F$64:$F$70*$I$64:$I$70*(1-discount_DZK)))</f>
        <v>3.8930429869561496</v>
      </c>
      <c r="D75" s="49"/>
    </row>
    <row r="76" spans="1:47" x14ac:dyDescent="0.3">
      <c r="E76" s="44"/>
    </row>
    <row r="78" spans="1:47" x14ac:dyDescent="0.3">
      <c r="C78" s="249">
        <f>C73+C27</f>
        <v>404925800</v>
      </c>
      <c r="D78" s="249"/>
    </row>
  </sheetData>
  <sheetProtection algorithmName="SHA-512" hashValue="OP2a7eXgvsofIrYBm7FWNXAoaLoIXc6h6IBBb4X287gLyKQsLDw8cXa+QK9ebqgK3GJfT4fmlnj4otG/ZrFwjQ==" saltValue="Y4hjfpYKUPOd+A7LxeUmIw==" spinCount="100000" sheet="1" objects="1" scenarios="1"/>
  <mergeCells count="1">
    <mergeCell ref="Q63:Y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tabColor theme="4"/>
  </sheetPr>
  <dimension ref="A1:AM73"/>
  <sheetViews>
    <sheetView zoomScale="85" zoomScaleNormal="85" workbookViewId="0">
      <selection activeCell="O24" sqref="O24"/>
    </sheetView>
  </sheetViews>
  <sheetFormatPr baseColWidth="10" defaultColWidth="11.44140625" defaultRowHeight="14.4" x14ac:dyDescent="0.3"/>
  <cols>
    <col min="1" max="1" width="2" style="75" customWidth="1"/>
    <col min="2" max="2" width="3" style="75" bestFit="1" customWidth="1"/>
    <col min="3" max="3" width="18.5546875" style="75" customWidth="1"/>
    <col min="4" max="4" width="13" style="75" customWidth="1"/>
    <col min="5" max="12" width="13.109375" style="75" customWidth="1"/>
    <col min="13" max="13" width="15.44140625" style="75" customWidth="1"/>
    <col min="14" max="14" width="13.109375" style="75" customWidth="1"/>
    <col min="15" max="15" width="15.5546875" style="75" customWidth="1"/>
    <col min="16" max="16" width="9.109375" style="75" customWidth="1"/>
    <col min="17" max="17" width="11.5546875" style="75" customWidth="1"/>
    <col min="18" max="18" width="10.88671875" style="75" customWidth="1"/>
    <col min="19" max="19" width="11.88671875" style="75" customWidth="1"/>
    <col min="20" max="20" width="13.109375" style="75" customWidth="1"/>
    <col min="21" max="21" width="15.5546875" style="75" customWidth="1"/>
    <col min="22" max="39" width="11.44140625" style="74"/>
    <col min="40" max="16384" width="11.44140625" style="75"/>
  </cols>
  <sheetData>
    <row r="1" spans="1:39" x14ac:dyDescent="0.3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39" x14ac:dyDescent="0.3">
      <c r="A2" s="74"/>
      <c r="B2" s="74"/>
      <c r="C2" s="76"/>
      <c r="D2" s="76"/>
      <c r="E2" s="378" t="s">
        <v>69</v>
      </c>
      <c r="F2" s="379"/>
      <c r="G2" s="379"/>
      <c r="H2" s="379"/>
      <c r="I2" s="379"/>
      <c r="J2" s="379"/>
      <c r="K2" s="379"/>
      <c r="L2" s="379"/>
      <c r="M2" s="380"/>
      <c r="N2" s="178"/>
      <c r="O2" s="74"/>
      <c r="P2" s="74"/>
      <c r="Q2" s="74"/>
      <c r="R2" s="74"/>
      <c r="S2" s="74"/>
      <c r="T2" s="74"/>
      <c r="U2" s="74"/>
    </row>
    <row r="3" spans="1:39" x14ac:dyDescent="0.3">
      <c r="A3" s="74"/>
      <c r="C3" s="132" t="s">
        <v>168</v>
      </c>
      <c r="D3" s="132"/>
      <c r="E3" s="134" t="s">
        <v>166</v>
      </c>
      <c r="F3" s="134" t="s">
        <v>166</v>
      </c>
      <c r="G3" s="134" t="s">
        <v>166</v>
      </c>
      <c r="H3" s="134" t="s">
        <v>166</v>
      </c>
      <c r="I3" s="134" t="s">
        <v>166</v>
      </c>
      <c r="J3" s="134" t="s">
        <v>166</v>
      </c>
      <c r="K3" s="134" t="s">
        <v>167</v>
      </c>
      <c r="L3" s="134" t="s">
        <v>167</v>
      </c>
      <c r="M3" s="134" t="s">
        <v>167</v>
      </c>
      <c r="N3" s="109" t="s">
        <v>88</v>
      </c>
      <c r="O3" s="109" t="s">
        <v>88</v>
      </c>
      <c r="P3" s="109" t="s">
        <v>143</v>
      </c>
      <c r="Q3" s="109" t="s">
        <v>143</v>
      </c>
      <c r="R3" s="109" t="s">
        <v>143</v>
      </c>
      <c r="S3" s="109" t="s">
        <v>144</v>
      </c>
      <c r="T3" s="109" t="s">
        <v>144</v>
      </c>
      <c r="U3" s="109" t="s">
        <v>120</v>
      </c>
    </row>
    <row r="4" spans="1:39" ht="72" x14ac:dyDescent="0.3">
      <c r="A4" s="74"/>
      <c r="B4" s="81"/>
      <c r="C4" s="374"/>
      <c r="D4" s="375"/>
      <c r="E4" s="104" t="s">
        <v>77</v>
      </c>
      <c r="F4" s="104" t="s">
        <v>78</v>
      </c>
      <c r="G4" s="104" t="s">
        <v>78</v>
      </c>
      <c r="H4" s="104" t="s">
        <v>83</v>
      </c>
      <c r="I4" s="104" t="s">
        <v>79</v>
      </c>
      <c r="J4" s="104" t="s">
        <v>82</v>
      </c>
      <c r="K4" s="104" t="s">
        <v>84</v>
      </c>
      <c r="L4" s="104" t="s">
        <v>80</v>
      </c>
      <c r="M4" s="104" t="s">
        <v>80</v>
      </c>
      <c r="N4" s="89" t="s">
        <v>150</v>
      </c>
      <c r="O4" s="89" t="s">
        <v>152</v>
      </c>
      <c r="P4" s="89" t="s">
        <v>269</v>
      </c>
      <c r="Q4" s="89" t="s">
        <v>148</v>
      </c>
      <c r="R4" s="89" t="s">
        <v>149</v>
      </c>
      <c r="S4" s="89" t="s">
        <v>131</v>
      </c>
      <c r="T4" s="89" t="s">
        <v>132</v>
      </c>
      <c r="U4" s="89" t="s">
        <v>147</v>
      </c>
    </row>
    <row r="5" spans="1:39" x14ac:dyDescent="0.3">
      <c r="A5" s="74"/>
      <c r="B5" s="81"/>
      <c r="C5" s="376"/>
      <c r="D5" s="377"/>
      <c r="E5" s="138" t="s">
        <v>70</v>
      </c>
      <c r="F5" s="138" t="s">
        <v>70</v>
      </c>
      <c r="G5" s="139" t="s">
        <v>71</v>
      </c>
      <c r="H5" s="138" t="s">
        <v>70</v>
      </c>
      <c r="I5" s="138" t="s">
        <v>70</v>
      </c>
      <c r="J5" s="138" t="s">
        <v>70</v>
      </c>
      <c r="K5" s="138" t="s">
        <v>70</v>
      </c>
      <c r="L5" s="138" t="s">
        <v>70</v>
      </c>
      <c r="M5" s="139" t="s">
        <v>71</v>
      </c>
      <c r="N5" s="89"/>
      <c r="O5" s="89"/>
      <c r="P5" s="89"/>
      <c r="Q5" s="89"/>
      <c r="R5" s="89"/>
      <c r="S5" s="131"/>
      <c r="T5" s="89"/>
      <c r="U5" s="89"/>
    </row>
    <row r="6" spans="1:39" ht="14.4" customHeight="1" x14ac:dyDescent="0.3">
      <c r="A6" s="74"/>
      <c r="B6" s="382" t="s">
        <v>57</v>
      </c>
      <c r="C6" s="101" t="s">
        <v>56</v>
      </c>
      <c r="D6" s="141" t="s">
        <v>71</v>
      </c>
      <c r="E6" s="278">
        <f>'[2]CWD Weights'!D5</f>
        <v>406.42794271774989</v>
      </c>
      <c r="F6" s="278">
        <f>'[2]CWD Weights'!E5</f>
        <v>652.16123585293951</v>
      </c>
      <c r="G6" s="278">
        <f>F6</f>
        <v>652.16123585293951</v>
      </c>
      <c r="H6" s="278">
        <v>0</v>
      </c>
      <c r="I6" s="278">
        <f>'[2]Reference VO 2017'!P18+'[2]Reference VO 2017'!P5-2*'[2]Reference VO 2017'!P34</f>
        <v>198.21445</v>
      </c>
      <c r="J6" s="278">
        <f>'[2]CWD Weights'!H5</f>
        <v>496.19784384649444</v>
      </c>
      <c r="K6" s="278">
        <f>'[2]CWD Weights'!I5</f>
        <v>43.410121471821753</v>
      </c>
      <c r="L6" s="278">
        <f>'[2]CWD Weights'!J5</f>
        <v>382.64254487678909</v>
      </c>
      <c r="M6" s="278">
        <f>L6</f>
        <v>382.64254487678909</v>
      </c>
      <c r="N6" s="130">
        <f>(SUMPRODUCT($E6:$M6*$E$16:$M$16*($E$3:$M$3="Intra")))/((SUMPRODUCT($E$16:$M$16*($E$3:$M$3="Intra"))))</f>
        <v>377.71288957877897</v>
      </c>
      <c r="O6" s="130">
        <f t="shared" ref="O6:O15" si="0">(SUMPRODUCT($E6:$M6*$E$16:$M$16*($E$3:$M$3="Cross")))/((SUMPRODUCT($E$16:$M$16*($E$3:$M$3="Cross"))))</f>
        <v>257.18394942668067</v>
      </c>
      <c r="P6" s="233">
        <f>SUMIFS('Reference VO 4RP'!$G$5:$G$34,'Reference VO 4RP'!$B$5:$B$34,$B$6,'Reference VO 4RP'!$E$5:$E$34,$C6,'Reference VO 4RP'!$C$5:$C$34,$D6)/1000</f>
        <v>531.33476999999993</v>
      </c>
      <c r="Q6" s="107">
        <f>P6-R6</f>
        <v>98.190895314515615</v>
      </c>
      <c r="R6" s="107">
        <f>P6/SUM($P$6:$P$15)*SUMIF($E$3:$M$3,"Cross",$E$16:$M$16)</f>
        <v>433.14387468548432</v>
      </c>
      <c r="S6" s="106">
        <f>N6*Q6</f>
        <v>37087.966799573085</v>
      </c>
      <c r="T6" s="106">
        <f>O6*R6</f>
        <v>111397.65236158812</v>
      </c>
      <c r="U6" s="108">
        <f>Overview!G49</f>
        <v>0.68</v>
      </c>
    </row>
    <row r="7" spans="1:39" x14ac:dyDescent="0.3">
      <c r="A7" s="74"/>
      <c r="B7" s="383"/>
      <c r="C7" s="101" t="s">
        <v>58</v>
      </c>
      <c r="D7" s="140" t="s">
        <v>70</v>
      </c>
      <c r="E7" s="116">
        <f>(Distances!E6*0+Distances!E10*Distances!H10+Distances!E7*Distances!G7)/(Distances!E6+Distances!E10+Distances!E7)</f>
        <v>24.833472717749871</v>
      </c>
      <c r="F7" s="116">
        <f>(Distances!G9*Distances!E9+Distances!G11*Distances!E11)/(Distances!E9+Distances!E11)</f>
        <v>270.56676585293951</v>
      </c>
      <c r="G7" s="116">
        <f>F7</f>
        <v>270.56676585293951</v>
      </c>
      <c r="H7" s="116">
        <f>Distances!G5</f>
        <v>381.59447</v>
      </c>
      <c r="I7" s="116">
        <f>Distances!G8</f>
        <v>238</v>
      </c>
      <c r="J7" s="116">
        <f>(Distances!G29*Distances!E29+Distances!G12*Distances!E12)/(Distances!E29+Distances!E12)</f>
        <v>114.60337384649442</v>
      </c>
      <c r="K7" s="116">
        <f>SUMPRODUCT(Distances!E25:E28,Distances!G25:G28)/SUM(Distances!E25:E28)</f>
        <v>338.18434852817825</v>
      </c>
      <c r="L7" s="116">
        <f>M7</f>
        <v>37.275145170465059</v>
      </c>
      <c r="M7" s="116">
        <f>SUMPRODUCT(Distances!E13:E24,Distances!G13:G24)/SUM(Distances!E13:E24)</f>
        <v>37.275145170465059</v>
      </c>
      <c r="N7" s="130">
        <f t="shared" ref="N7:N15" si="1">(SUMPRODUCT($E7:$M7*$E$16:$M$16*($E$3:$M$3="Intra")))/((SUMPRODUCT($E$16:$M$16*($E$3:$M$3="Intra"))))</f>
        <v>41.647895374184657</v>
      </c>
      <c r="O7" s="130">
        <f t="shared" si="0"/>
        <v>281.33136552208225</v>
      </c>
      <c r="P7" s="233">
        <f>SUMIFS('Reference VO 4RP'!$G$5:$G$34,'Reference VO 4RP'!$B$5:$B$34,$B$6,'Reference VO 4RP'!$E$5:$E$34,$C7,'Reference VO 4RP'!$C$5:$C$34,$D7)/1000</f>
        <v>81872.00426999999</v>
      </c>
      <c r="Q7" s="107">
        <f>P7-R7</f>
        <v>15129.981801238304</v>
      </c>
      <c r="R7" s="107">
        <f t="shared" ref="R7:R15" si="2">P7/SUM($P$6:$P$15)*SUMIF($E$3:$M$3,"Cross",$E$16:$M$16)</f>
        <v>66742.022468761686</v>
      </c>
      <c r="S7" s="106">
        <f t="shared" ref="S7:S15" si="3">N7*Q7</f>
        <v>630131.89907129074</v>
      </c>
      <c r="T7" s="106">
        <f t="shared" ref="T7:T15" si="4">O7*R7</f>
        <v>18776624.318842221</v>
      </c>
      <c r="U7" s="108">
        <f>Overview!G8</f>
        <v>0.85</v>
      </c>
    </row>
    <row r="8" spans="1:39" x14ac:dyDescent="0.3">
      <c r="A8" s="74"/>
      <c r="B8" s="383"/>
      <c r="C8" s="101" t="s">
        <v>90</v>
      </c>
      <c r="D8" s="140" t="s">
        <v>70</v>
      </c>
      <c r="E8" s="116">
        <f>Distances!G7-E7</f>
        <v>21.166527282250129</v>
      </c>
      <c r="F8" s="116">
        <f>F7+Distances!G7</f>
        <v>316.56676585293951</v>
      </c>
      <c r="G8" s="116">
        <f>F8</f>
        <v>316.56676585293951</v>
      </c>
      <c r="H8" s="116">
        <f>H7+Distances!G7</f>
        <v>427.59447</v>
      </c>
      <c r="I8" s="116">
        <f>I7+Distances!G7</f>
        <v>284</v>
      </c>
      <c r="J8" s="116">
        <f>J7+Distances!G7</f>
        <v>160.60337384649443</v>
      </c>
      <c r="K8" s="116">
        <f>K7+Distances!G7</f>
        <v>384.18434852817825</v>
      </c>
      <c r="L8" s="116">
        <f>M7+Distances!G7</f>
        <v>83.275145170465066</v>
      </c>
      <c r="M8" s="116">
        <f>L8</f>
        <v>83.275145170465066</v>
      </c>
      <c r="N8" s="130">
        <f t="shared" si="1"/>
        <v>87.647895374184657</v>
      </c>
      <c r="O8" s="130">
        <f t="shared" si="0"/>
        <v>321.14476182214401</v>
      </c>
      <c r="P8" s="233">
        <f>SUMIFS('Reference VO 4RP'!$G$5:$G$34,'Reference VO 4RP'!$B$5:$B$34,$B$6,'Reference VO 4RP'!$E$5:$E$34,$C8,'Reference VO 4RP'!$C$5:$C$34,$D8)/1000</f>
        <v>0</v>
      </c>
      <c r="Q8" s="107">
        <f t="shared" ref="Q8:Q15" si="5">P8-R8</f>
        <v>0</v>
      </c>
      <c r="R8" s="107">
        <f t="shared" si="2"/>
        <v>0</v>
      </c>
      <c r="S8" s="106">
        <f t="shared" si="3"/>
        <v>0</v>
      </c>
      <c r="T8" s="106">
        <f t="shared" si="4"/>
        <v>0</v>
      </c>
      <c r="U8" s="108">
        <f>Overview!G11</f>
        <v>0.85</v>
      </c>
    </row>
    <row r="9" spans="1:39" x14ac:dyDescent="0.3">
      <c r="A9" s="74"/>
      <c r="B9" s="383"/>
      <c r="C9" s="101" t="s">
        <v>73</v>
      </c>
      <c r="D9" s="140" t="s">
        <v>70</v>
      </c>
      <c r="E9" s="116">
        <f>E7+I7</f>
        <v>262.83347271774988</v>
      </c>
      <c r="F9" s="116">
        <f>F7+I7</f>
        <v>508.56676585293951</v>
      </c>
      <c r="G9" s="116">
        <f>F9</f>
        <v>508.56676585293951</v>
      </c>
      <c r="H9" s="116">
        <f>I6</f>
        <v>198.21445</v>
      </c>
      <c r="I9" s="116">
        <v>0</v>
      </c>
      <c r="J9" s="116">
        <f>I7+J7</f>
        <v>352.60337384649443</v>
      </c>
      <c r="K9" s="116">
        <f>I7+K7-2*Distances!G23</f>
        <v>154.80432852817825</v>
      </c>
      <c r="L9" s="136">
        <f>SUMPRODUCT(Distances!$J$13:$J$24*Distances!$E$13:$E$24*(Distances!$C$13:$C$24=$L$5))/SUMIFS(Distances!$E$13:$E$24,Distances!$C$13:$C$24,$L$5)</f>
        <v>214.98403148352884</v>
      </c>
      <c r="M9" s="116">
        <f>L9</f>
        <v>214.98403148352884</v>
      </c>
      <c r="N9" s="130">
        <f t="shared" si="1"/>
        <v>214.10951250763375</v>
      </c>
      <c r="O9" s="130">
        <f t="shared" si="0"/>
        <v>286.63108538392817</v>
      </c>
      <c r="P9" s="233">
        <f>SUMIFS('Reference VO 4RP'!$G$5:$G$34,'Reference VO 4RP'!$B$5:$B$34,$B$6,'Reference VO 4RP'!$E$5:$E$34,$C9,'Reference VO 4RP'!$C$5:$C$34,$D9)/1000</f>
        <v>0</v>
      </c>
      <c r="Q9" s="107">
        <f t="shared" si="5"/>
        <v>0</v>
      </c>
      <c r="R9" s="107">
        <f t="shared" si="2"/>
        <v>0</v>
      </c>
      <c r="S9" s="106">
        <f t="shared" si="3"/>
        <v>0</v>
      </c>
      <c r="T9" s="106">
        <f t="shared" si="4"/>
        <v>0</v>
      </c>
      <c r="U9" s="108">
        <f>Overview!G12</f>
        <v>0.97</v>
      </c>
    </row>
    <row r="10" spans="1:39" x14ac:dyDescent="0.3">
      <c r="A10" s="74"/>
      <c r="B10" s="383"/>
      <c r="C10" s="101" t="s">
        <v>59</v>
      </c>
      <c r="D10" s="140" t="s">
        <v>70</v>
      </c>
      <c r="E10" s="116">
        <f>+E7+Distances!H6</f>
        <v>266.83347271774988</v>
      </c>
      <c r="F10" s="116">
        <f>F7-Distances!H6</f>
        <v>28.566765852939511</v>
      </c>
      <c r="G10" s="116">
        <f t="shared" ref="G10" si="6">F10</f>
        <v>28.566765852939511</v>
      </c>
      <c r="H10" s="116">
        <f>+H7+Distances!H6</f>
        <v>623.59447</v>
      </c>
      <c r="I10" s="116">
        <f>+I7+Distances!H6</f>
        <v>480</v>
      </c>
      <c r="J10" s="116">
        <f>(Distances!H12*Distances!E12+Distances!H29*Distances!E29)/(Distances!E12+Distances!E29)</f>
        <v>192.44664811847244</v>
      </c>
      <c r="K10" s="116">
        <f>+K7+Distances!H6</f>
        <v>580.18434852817825</v>
      </c>
      <c r="L10" s="116">
        <f>SUMPRODUCT(Distances!H13:H24,Distances!E13:E24)/SUM(Distances!E13:E24)</f>
        <v>241.62139261349228</v>
      </c>
      <c r="M10" s="116">
        <f>SUMPRODUCT(Distances!H13:H24,Distances!E13:E24)/SUM(Distances!E13:E24)</f>
        <v>241.62139261349228</v>
      </c>
      <c r="N10" s="130">
        <f t="shared" si="1"/>
        <v>246.54131934862752</v>
      </c>
      <c r="O10" s="130">
        <f t="shared" si="0"/>
        <v>394.00094705716651</v>
      </c>
      <c r="P10" s="233">
        <f>SUMIFS('Reference VO 4RP'!$G$5:$G$34,'Reference VO 4RP'!$B$5:$B$34,$B$6,'Reference VO 4RP'!$E$5:$E$34,$C10,'Reference VO 4RP'!$C$5:$C$34,$D10)/1000</f>
        <v>9651.0057300000008</v>
      </c>
      <c r="Q10" s="107">
        <f t="shared" si="5"/>
        <v>1783.5100332587317</v>
      </c>
      <c r="R10" s="107">
        <f t="shared" si="2"/>
        <v>7867.4956967412691</v>
      </c>
      <c r="S10" s="106">
        <f t="shared" si="3"/>
        <v>439708.91667112225</v>
      </c>
      <c r="T10" s="106">
        <f t="shared" si="4"/>
        <v>3099800.755484242</v>
      </c>
      <c r="U10" s="108">
        <f>Overview!G9</f>
        <v>0.97</v>
      </c>
    </row>
    <row r="11" spans="1:39" x14ac:dyDescent="0.3">
      <c r="A11" s="74"/>
      <c r="B11" s="383"/>
      <c r="C11" s="101" t="s">
        <v>116</v>
      </c>
      <c r="D11" s="140" t="s">
        <v>70</v>
      </c>
      <c r="E11" s="116">
        <f>E13-Distances!$I$29</f>
        <v>358.83347271774988</v>
      </c>
      <c r="F11" s="116">
        <f>(Distances!I29*Distances!E11+Distances!H29*Distances!E9)/(Distances!E9+Distances!E11)</f>
        <v>65.237450937772493</v>
      </c>
      <c r="G11" s="116">
        <f>F11</f>
        <v>65.237450937772493</v>
      </c>
      <c r="H11" s="116">
        <f>H13-Distances!$I$29</f>
        <v>715.59447</v>
      </c>
      <c r="I11" s="116">
        <f>I13-Distances!$I$29</f>
        <v>572</v>
      </c>
      <c r="J11" s="116">
        <f>(0*Distances!E29+Distances!E12*(Distances!I12+Distances!I29))/(Distances!E12+Distances!E29)</f>
        <v>226.00495826656297</v>
      </c>
      <c r="K11" s="116">
        <f>K13-Distances!$I$29</f>
        <v>672.18434852817825</v>
      </c>
      <c r="L11" s="116">
        <f>L13-Distances!$I$29</f>
        <v>333.62139261349228</v>
      </c>
      <c r="M11" s="116">
        <f>L11</f>
        <v>333.62139261349228</v>
      </c>
      <c r="N11" s="130">
        <f t="shared" si="1"/>
        <v>338.5413193486275</v>
      </c>
      <c r="O11" s="130">
        <f t="shared" si="0"/>
        <v>467.57703061802613</v>
      </c>
      <c r="P11" s="233">
        <f>SUMIFS('Reference VO 4RP'!$G$5:$G$34,'Reference VO 4RP'!$B$5:$B$34,$B$6,'Reference VO 4RP'!$E$5:$E$34,$C11,'Reference VO 4RP'!$C$5:$C$34,$D11)/1000</f>
        <v>2950.8249999999998</v>
      </c>
      <c r="Q11" s="107">
        <f t="shared" si="5"/>
        <v>545.3137363219339</v>
      </c>
      <c r="R11" s="107">
        <f t="shared" si="2"/>
        <v>2405.5112636780659</v>
      </c>
      <c r="S11" s="106">
        <f t="shared" si="3"/>
        <v>184611.23175335707</v>
      </c>
      <c r="T11" s="106">
        <f t="shared" si="4"/>
        <v>1124761.8137888059</v>
      </c>
      <c r="U11" s="108">
        <f>Overview!G29</f>
        <v>0</v>
      </c>
    </row>
    <row r="12" spans="1:39" x14ac:dyDescent="0.3">
      <c r="A12" s="74"/>
      <c r="B12" s="383"/>
      <c r="C12" s="101" t="s">
        <v>61</v>
      </c>
      <c r="D12" s="140" t="s">
        <v>70</v>
      </c>
      <c r="E12" s="116">
        <f>E7-(Distances!G12*Distances!E6+(Distances!G10-Distances!G12)*Distances!E10)/(Distances!E6+Distances!E10)</f>
        <v>22.833472717749871</v>
      </c>
      <c r="F12" s="116">
        <f>F7+Distances!G12</f>
        <v>272.56676585293951</v>
      </c>
      <c r="G12" s="116">
        <f>F12</f>
        <v>272.56676585293951</v>
      </c>
      <c r="H12" s="116">
        <f>H7+Distances!G12</f>
        <v>383.59447</v>
      </c>
      <c r="I12" s="116">
        <f>I7+Distances!G12</f>
        <v>240</v>
      </c>
      <c r="J12" s="116">
        <f>(0*Distances!E12+(Distances!G29+Distances!G12)*Distances!E29)/(Distances!E29+Distances!E12)</f>
        <v>113.96004100127146</v>
      </c>
      <c r="K12" s="116">
        <f>K7+Distances!G12</f>
        <v>340.18434852817825</v>
      </c>
      <c r="L12" s="116">
        <f>M7+Distances!G12</f>
        <v>39.275145170465059</v>
      </c>
      <c r="M12" s="116">
        <f>L12</f>
        <v>39.275145170465059</v>
      </c>
      <c r="N12" s="130">
        <f t="shared" si="1"/>
        <v>43.647895374184664</v>
      </c>
      <c r="O12" s="130">
        <f t="shared" si="0"/>
        <v>282.59065756692246</v>
      </c>
      <c r="P12" s="233">
        <f>SUMIFS('Reference VO 4RP'!$G$5:$G$34,'Reference VO 4RP'!$B$5:$B$34,$B$6,'Reference VO 4RP'!$E$5:$E$34,$C12,'Reference VO 4RP'!$C$5:$C$34,$D12)/1000</f>
        <v>5749.393</v>
      </c>
      <c r="Q12" s="107">
        <f t="shared" si="5"/>
        <v>1062.4903131880656</v>
      </c>
      <c r="R12" s="107">
        <f t="shared" si="2"/>
        <v>4686.9026868119345</v>
      </c>
      <c r="S12" s="106">
        <f t="shared" si="3"/>
        <v>46375.466026117385</v>
      </c>
      <c r="T12" s="106">
        <f t="shared" si="4"/>
        <v>1324474.9122183602</v>
      </c>
      <c r="U12" s="108">
        <f>Overview!G30</f>
        <v>0</v>
      </c>
    </row>
    <row r="13" spans="1:39" s="80" customFormat="1" x14ac:dyDescent="0.3">
      <c r="A13" s="74"/>
      <c r="B13" s="383"/>
      <c r="C13" s="101" t="s">
        <v>60</v>
      </c>
      <c r="D13" s="140" t="s">
        <v>70</v>
      </c>
      <c r="E13" s="116">
        <f>E7+Distances!I6</f>
        <v>361.83347271774988</v>
      </c>
      <c r="F13" s="116">
        <f>Distances!I6-F7</f>
        <v>66.433234147060489</v>
      </c>
      <c r="G13" s="116">
        <f>+F13</f>
        <v>66.433234147060489</v>
      </c>
      <c r="H13" s="116">
        <f>Distances!I6+H7</f>
        <v>718.59447</v>
      </c>
      <c r="I13" s="116">
        <f>Distances!I6+I7</f>
        <v>575</v>
      </c>
      <c r="J13" s="116">
        <f>+J7+Distances!I6</f>
        <v>451.60337384649443</v>
      </c>
      <c r="K13" s="116">
        <f>+K7+Distances!I6</f>
        <v>675.18434852817825</v>
      </c>
      <c r="L13" s="116">
        <f>SUMPRODUCT(Distances!I13:I24,Distances!E13:E24)/SUM(Distances!E13:E24)</f>
        <v>336.62139261349228</v>
      </c>
      <c r="M13" s="116">
        <f>L13</f>
        <v>336.62139261349228</v>
      </c>
      <c r="N13" s="130">
        <f t="shared" si="1"/>
        <v>341.5413193486275</v>
      </c>
      <c r="O13" s="130">
        <f t="shared" si="0"/>
        <v>490.56898347658068</v>
      </c>
      <c r="P13" s="233">
        <f>SUMIFS('Reference VO 4RP'!$G$5:$G$34,'Reference VO 4RP'!$B$5:$B$34,$B$6,'Reference VO 4RP'!$E$5:$E$34,$C13,'Reference VO 4RP'!$C$5:$C$34,$D13)/1000</f>
        <v>1393.155</v>
      </c>
      <c r="Q13" s="107">
        <f t="shared" si="5"/>
        <v>257.45564658208605</v>
      </c>
      <c r="R13" s="107">
        <f t="shared" si="2"/>
        <v>1135.6993534179139</v>
      </c>
      <c r="S13" s="106">
        <f t="shared" si="3"/>
        <v>87931.741207399624</v>
      </c>
      <c r="T13" s="106">
        <f t="shared" si="4"/>
        <v>557138.87734123599</v>
      </c>
      <c r="U13" s="108">
        <f>Overview!G10</f>
        <v>0.97</v>
      </c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</row>
    <row r="14" spans="1:39" x14ac:dyDescent="0.3">
      <c r="A14" s="74"/>
      <c r="B14" s="383"/>
      <c r="C14" s="101" t="s">
        <v>60</v>
      </c>
      <c r="D14" s="141" t="s">
        <v>71</v>
      </c>
      <c r="E14" s="116">
        <f>E13</f>
        <v>361.83347271774988</v>
      </c>
      <c r="F14" s="116">
        <f t="shared" ref="F14:L14" si="7">F13</f>
        <v>66.433234147060489</v>
      </c>
      <c r="G14" s="116">
        <f t="shared" si="7"/>
        <v>66.433234147060489</v>
      </c>
      <c r="H14" s="116">
        <f t="shared" si="7"/>
        <v>718.59447</v>
      </c>
      <c r="I14" s="116">
        <f t="shared" si="7"/>
        <v>575</v>
      </c>
      <c r="J14" s="116">
        <f>J13</f>
        <v>451.60337384649443</v>
      </c>
      <c r="K14" s="116">
        <f t="shared" si="7"/>
        <v>675.18434852817825</v>
      </c>
      <c r="L14" s="116">
        <f t="shared" si="7"/>
        <v>336.62139261349228</v>
      </c>
      <c r="M14" s="116">
        <f>L14</f>
        <v>336.62139261349228</v>
      </c>
      <c r="N14" s="130">
        <f t="shared" si="1"/>
        <v>341.5413193486275</v>
      </c>
      <c r="O14" s="130">
        <f t="shared" si="0"/>
        <v>490.56898347658068</v>
      </c>
      <c r="P14" s="233">
        <f>SUMIFS('Reference VO 4RP'!$G$5:$G$34,'Reference VO 4RP'!$B$5:$B$34,$B$6,'Reference VO 4RP'!$E$5:$E$34,$C14,'Reference VO 4RP'!$C$5:$C$34,$D14)/1000</f>
        <v>3357</v>
      </c>
      <c r="Q14" s="107">
        <f t="shared" si="5"/>
        <v>620.37505200502665</v>
      </c>
      <c r="R14" s="107">
        <f t="shared" si="2"/>
        <v>2736.6249479949734</v>
      </c>
      <c r="S14" s="106">
        <f t="shared" si="3"/>
        <v>211883.71375277019</v>
      </c>
      <c r="T14" s="106">
        <f t="shared" si="4"/>
        <v>1342503.3188945446</v>
      </c>
      <c r="U14" s="108">
        <f>Overview!G22</f>
        <v>0.88</v>
      </c>
    </row>
    <row r="15" spans="1:39" x14ac:dyDescent="0.3">
      <c r="A15" s="74"/>
      <c r="B15" s="383"/>
      <c r="C15" s="101" t="s">
        <v>75</v>
      </c>
      <c r="D15" s="140" t="s">
        <v>70</v>
      </c>
      <c r="E15" s="116">
        <f>E7</f>
        <v>24.833472717749871</v>
      </c>
      <c r="F15" s="116">
        <f>F7</f>
        <v>270.56676585293951</v>
      </c>
      <c r="G15" s="116">
        <f>F15</f>
        <v>270.56676585293951</v>
      </c>
      <c r="H15" s="116">
        <f>H7</f>
        <v>381.59447</v>
      </c>
      <c r="I15" s="136">
        <f>I7</f>
        <v>238</v>
      </c>
      <c r="J15" s="136">
        <f>J7</f>
        <v>114.60337384649442</v>
      </c>
      <c r="K15" s="136">
        <f>K7</f>
        <v>338.18434852817825</v>
      </c>
      <c r="L15" s="116">
        <v>0</v>
      </c>
      <c r="M15" s="116">
        <f>L15</f>
        <v>0</v>
      </c>
      <c r="N15" s="130">
        <f t="shared" si="1"/>
        <v>4.9144248910307242</v>
      </c>
      <c r="O15" s="130">
        <f t="shared" si="0"/>
        <v>281.33136552208225</v>
      </c>
      <c r="P15" s="233">
        <f>SUMIFS('Reference VO 4RP'!$G$5:$G$34,'Reference VO 4RP'!$B$5:$B$34,$B$6,'Reference VO 4RP'!$E$5:$E$34,$C15,'Reference VO 4RP'!$C$5:$C$34,$D15)/1000</f>
        <v>10848</v>
      </c>
      <c r="Q15" s="107">
        <f t="shared" si="5"/>
        <v>2004.7150920913118</v>
      </c>
      <c r="R15" s="107">
        <f t="shared" si="2"/>
        <v>8843.2849079086882</v>
      </c>
      <c r="S15" s="106">
        <f t="shared" si="3"/>
        <v>9852.0217479984931</v>
      </c>
      <c r="T15" s="106">
        <f t="shared" si="4"/>
        <v>2487893.4188427725</v>
      </c>
      <c r="U15" s="108">
        <f>Overview!G20</f>
        <v>0</v>
      </c>
    </row>
    <row r="16" spans="1:39" x14ac:dyDescent="0.3">
      <c r="A16" s="74"/>
      <c r="B16" s="74"/>
      <c r="C16" s="102" t="s">
        <v>268</v>
      </c>
      <c r="D16" s="102"/>
      <c r="E16" s="232">
        <f>SUMIFS('Reference VO 4RP'!$G$5:$G$34,'Reference VO 4RP'!$D$5:$D$34,CAA!E$4,'Reference VO 4RP'!$C$5:$C$34,CAA!E$5)/1000</f>
        <v>11814.771269999999</v>
      </c>
      <c r="F16" s="232">
        <f>SUMIFS('Reference VO 4RP'!$G$5:$G$34,'Reference VO 4RP'!$D$5:$D$34,CAA!F$4,'Reference VO 4RP'!$C$5:$C$34,CAA!F$5)/1000</f>
        <v>15925.86537</v>
      </c>
      <c r="G16" s="232">
        <f>SUMIFS('Reference VO 4RP'!$G$5:$G$34,'Reference VO 4RP'!$D$5:$D$34,CAA!G$4,'Reference VO 4RP'!$C$5:$C$34,CAA!G$5)/1000</f>
        <v>6468.5137799999993</v>
      </c>
      <c r="H16" s="232">
        <f>SUMIFS('Reference VO 4RP'!$G$5:$G$34,'Reference VO 4RP'!$D$5:$D$34,CAA!H$4,'Reference VO 4RP'!$C$5:$C$34,CAA!H$5)/1000</f>
        <v>48558.893100000008</v>
      </c>
      <c r="I16" s="232">
        <f>SUMIFS('Reference VO 4RP'!$G$5:$G$34,'Reference VO 4RP'!$D$5:$D$34,CAA!I$4,'Reference VO 4RP'!$C$5:$C$34,CAA!I$5)/1000</f>
        <v>3382.4236799999999</v>
      </c>
      <c r="J16" s="232">
        <f>SUMIFS('Reference VO 4RP'!$G$5:$G$34,'Reference VO 4RP'!$D$5:$D$34,CAA!J$4,'Reference VO 4RP'!$C$5:$C$34,CAA!J$5)/1000</f>
        <v>8700.2180000000008</v>
      </c>
      <c r="K16" s="232">
        <f>SUMIFS('Reference VO 4RP'!$G$5:$G$34,'Reference VO 4RP'!$D$5:$D$34,CAA!K$4,'Reference VO 4RP'!$C$5:$C$34,CAA!K$5)/1000</f>
        <v>471.87099999999998</v>
      </c>
      <c r="L16" s="232">
        <f>SUMIFS('Reference VO 4RP'!$G$5:$G$34,'Reference VO 4RP'!$D$5:$D$34,CAA!L$4,'Reference VO 4RP'!$C$5:$C$34,CAA!L$5)/1000</f>
        <v>24985.467000000001</v>
      </c>
      <c r="M16" s="232">
        <f>SUMIFS('Reference VO 4RP'!$G$5:$G$34,'Reference VO 4RP'!$D$5:$D$34,CAA!M$4,'Reference VO 4RP'!$C$5:$C$34,CAA!M$5)/1000</f>
        <v>7014.2920000000004</v>
      </c>
      <c r="N16" s="74"/>
      <c r="O16" s="93"/>
      <c r="Q16" s="112"/>
      <c r="R16" s="112"/>
      <c r="S16" s="112"/>
      <c r="T16" s="93"/>
    </row>
    <row r="17" spans="1:23" x14ac:dyDescent="0.3">
      <c r="A17" s="74"/>
      <c r="B17" s="74"/>
      <c r="C17" s="102" t="s">
        <v>151</v>
      </c>
      <c r="D17" s="102"/>
      <c r="E17" s="90">
        <f>(SUMPRODUCT(E6:E15,$P6:$P15))/SUMPRODUCT($P6:$P15)</f>
        <v>68.778959283161981</v>
      </c>
      <c r="F17" s="90">
        <f t="shared" ref="F17:M17" si="8">(SUMPRODUCT(F6:F15,$P6:$P15))/SUMPRODUCT($P6:$P15)</f>
        <v>238.79400580446432</v>
      </c>
      <c r="G17" s="90">
        <f t="shared" si="8"/>
        <v>238.79400580446432</v>
      </c>
      <c r="H17" s="90">
        <f t="shared" si="8"/>
        <v>422.25244205580202</v>
      </c>
      <c r="I17" s="90">
        <f t="shared" si="8"/>
        <v>280.21887211360001</v>
      </c>
      <c r="J17" s="90">
        <f t="shared" si="8"/>
        <v>139.35441011943851</v>
      </c>
      <c r="K17" s="90">
        <f t="shared" si="8"/>
        <v>379.2387927481027</v>
      </c>
      <c r="L17" s="90">
        <f t="shared" si="8"/>
        <v>72.162147309200833</v>
      </c>
      <c r="M17" s="90">
        <f t="shared" si="8"/>
        <v>72.162147309200833</v>
      </c>
      <c r="N17" s="74"/>
      <c r="O17" s="133"/>
      <c r="P17" s="112"/>
      <c r="Q17" s="112"/>
      <c r="R17" s="112"/>
      <c r="S17" s="74"/>
      <c r="T17" s="74"/>
      <c r="U17" s="82"/>
    </row>
    <row r="18" spans="1:23" x14ac:dyDescent="0.3">
      <c r="A18" s="74"/>
      <c r="B18" s="74"/>
      <c r="C18" s="388" t="s">
        <v>171</v>
      </c>
      <c r="D18" s="389"/>
      <c r="E18" s="90">
        <f>E17*E16</f>
        <v>812607.67211920198</v>
      </c>
      <c r="F18" s="90">
        <f t="shared" ref="F18:M18" si="9">F17*F16</f>
        <v>3803001.1876048972</v>
      </c>
      <c r="G18" s="90">
        <f t="shared" si="9"/>
        <v>1544642.3171275773</v>
      </c>
      <c r="H18" s="90">
        <f t="shared" si="9"/>
        <v>20504111.195001639</v>
      </c>
      <c r="I18" s="90">
        <f t="shared" si="9"/>
        <v>947818.94861993229</v>
      </c>
      <c r="J18" s="90">
        <f t="shared" si="9"/>
        <v>1212413.7473005212</v>
      </c>
      <c r="K18" s="90">
        <f t="shared" si="9"/>
        <v>178951.78837283995</v>
      </c>
      <c r="L18" s="90">
        <f t="shared" si="9"/>
        <v>1803004.9502431762</v>
      </c>
      <c r="M18" s="90">
        <f t="shared" si="9"/>
        <v>506166.37257374893</v>
      </c>
      <c r="N18" s="74"/>
      <c r="O18" s="74"/>
      <c r="P18" s="112"/>
      <c r="Q18" s="83"/>
      <c r="R18" s="83"/>
      <c r="S18" s="74"/>
      <c r="T18" s="74"/>
      <c r="U18" s="83"/>
    </row>
    <row r="19" spans="1:23" x14ac:dyDescent="0.3">
      <c r="A19" s="74"/>
      <c r="B19" s="74"/>
      <c r="C19" s="102" t="s">
        <v>170</v>
      </c>
      <c r="D19" s="103"/>
      <c r="E19" s="108">
        <f>Overview!G14</f>
        <v>1.23</v>
      </c>
      <c r="F19" s="108">
        <f>Overview!G15</f>
        <v>3.26</v>
      </c>
      <c r="G19" s="108">
        <f>Overview!G25</f>
        <v>2.93</v>
      </c>
      <c r="H19" s="108">
        <f>Overview!G46</f>
        <v>4.3499999999999996</v>
      </c>
      <c r="I19" s="108">
        <f>Overview!G16</f>
        <v>1.9</v>
      </c>
      <c r="J19" s="108">
        <f>Overview!G28</f>
        <v>0.44</v>
      </c>
      <c r="K19" s="108">
        <f>Overview!G48</f>
        <v>3.85</v>
      </c>
      <c r="L19" s="108">
        <f>Overview!G19</f>
        <v>0.42</v>
      </c>
      <c r="M19" s="108">
        <f>Overview!G23</f>
        <v>0.38</v>
      </c>
      <c r="N19" s="74"/>
      <c r="O19" s="74"/>
      <c r="P19" s="112"/>
      <c r="Q19" s="111"/>
      <c r="R19" s="74"/>
      <c r="S19" s="74"/>
      <c r="T19" s="74"/>
      <c r="U19" s="74"/>
    </row>
    <row r="20" spans="1:23" x14ac:dyDescent="0.3">
      <c r="A20" s="74"/>
      <c r="B20" s="7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74"/>
      <c r="P20" s="112"/>
      <c r="Q20" s="74"/>
      <c r="R20" s="74"/>
      <c r="S20" s="74"/>
      <c r="T20" s="74"/>
      <c r="U20" s="74"/>
      <c r="V20" s="352"/>
    </row>
    <row r="21" spans="1:23" ht="15.75" customHeight="1" x14ac:dyDescent="0.3">
      <c r="A21" s="74"/>
      <c r="B21" s="74"/>
      <c r="C21" s="95"/>
      <c r="D21" s="135"/>
      <c r="E21" s="96" t="s">
        <v>264</v>
      </c>
      <c r="F21" s="97">
        <f>SUMPRODUCT(U6:U15,Q6:Q15)</f>
        <v>15452.921095076446</v>
      </c>
      <c r="G21" s="79"/>
      <c r="H21" s="74"/>
      <c r="I21" s="74"/>
      <c r="J21" s="74"/>
      <c r="K21" s="74"/>
      <c r="L21" s="74"/>
      <c r="M21" s="74"/>
      <c r="N21" s="74"/>
      <c r="O21" s="74"/>
      <c r="P21" s="112"/>
      <c r="Q21" s="74"/>
      <c r="R21" s="114"/>
      <c r="S21" s="115"/>
      <c r="T21" s="74"/>
      <c r="U21" s="74"/>
      <c r="V21" s="352"/>
    </row>
    <row r="22" spans="1:23" x14ac:dyDescent="0.3">
      <c r="A22" s="74"/>
      <c r="B22" s="74"/>
      <c r="C22" s="95"/>
      <c r="D22" s="135"/>
      <c r="E22" s="96" t="s">
        <v>265</v>
      </c>
      <c r="F22" s="99">
        <f>SUMPRODUCT(U6:U15,R6:R15)</f>
        <v>68166.586086123541</v>
      </c>
      <c r="G22" s="79"/>
      <c r="H22" s="85"/>
      <c r="I22" s="74"/>
      <c r="J22" s="93"/>
      <c r="K22" s="74"/>
      <c r="L22" s="74"/>
      <c r="M22" s="74"/>
      <c r="N22" s="74"/>
      <c r="O22" s="84"/>
      <c r="P22" s="112"/>
      <c r="Q22" s="110"/>
      <c r="R22" s="114"/>
      <c r="S22" s="74"/>
      <c r="T22" s="110"/>
      <c r="U22" s="110"/>
      <c r="V22" s="352"/>
    </row>
    <row r="23" spans="1:23" x14ac:dyDescent="0.3">
      <c r="A23" s="74"/>
      <c r="B23" s="74"/>
      <c r="C23" s="95"/>
      <c r="D23" s="135"/>
      <c r="E23" s="96" t="s">
        <v>266</v>
      </c>
      <c r="F23" s="97">
        <f>SUMPRODUCT(E16:M16*E19:M19*(E3:M3="Intra"))</f>
        <v>14976.03045</v>
      </c>
      <c r="G23" s="85"/>
      <c r="I23" s="74"/>
      <c r="J23" s="74"/>
      <c r="K23" s="74"/>
      <c r="L23" s="74"/>
      <c r="M23" s="74"/>
      <c r="N23" s="74"/>
      <c r="O23" s="74"/>
      <c r="P23" s="112"/>
      <c r="Q23" s="110"/>
      <c r="R23" s="74"/>
      <c r="S23" s="74"/>
      <c r="T23" s="110"/>
      <c r="U23" s="113"/>
      <c r="V23" s="352"/>
    </row>
    <row r="24" spans="1:23" x14ac:dyDescent="0.3">
      <c r="A24" s="74"/>
      <c r="B24" s="74"/>
      <c r="C24" s="143"/>
      <c r="D24" s="144"/>
      <c r="E24" s="145" t="s">
        <v>267</v>
      </c>
      <c r="F24" s="97">
        <f>SUMPRODUCT(E16:M16*E19:M19*(E3:M3="Cross"))</f>
        <v>306889.1210407</v>
      </c>
      <c r="G24" s="85"/>
      <c r="H24" s="85"/>
      <c r="I24" s="74"/>
      <c r="J24" s="74"/>
      <c r="K24" s="74"/>
      <c r="L24" s="74"/>
      <c r="M24" s="74"/>
      <c r="N24" s="74"/>
      <c r="O24" s="74"/>
      <c r="P24" s="112"/>
      <c r="Q24" s="74"/>
      <c r="R24" s="74"/>
      <c r="S24" s="74"/>
      <c r="T24" s="74"/>
      <c r="U24" s="74"/>
      <c r="V24" s="352"/>
    </row>
    <row r="25" spans="1:23" x14ac:dyDescent="0.3">
      <c r="A25" s="74"/>
      <c r="B25" s="74"/>
      <c r="C25" s="149"/>
      <c r="D25" s="150"/>
      <c r="E25" s="151" t="s">
        <v>133</v>
      </c>
      <c r="F25" s="146">
        <f>F21+F23</f>
        <v>30428.951545076445</v>
      </c>
      <c r="G25" s="182"/>
      <c r="H25" s="74"/>
      <c r="I25" s="85"/>
      <c r="J25" s="74"/>
      <c r="K25" s="74"/>
      <c r="L25" s="74"/>
      <c r="M25" s="74"/>
      <c r="N25" s="74"/>
      <c r="O25" s="74"/>
      <c r="P25" s="112"/>
      <c r="R25" s="74"/>
      <c r="S25" s="74"/>
      <c r="T25" s="74"/>
      <c r="U25" s="74"/>
      <c r="V25" s="352"/>
    </row>
    <row r="26" spans="1:23" x14ac:dyDescent="0.3">
      <c r="A26" s="74"/>
      <c r="B26" s="74"/>
      <c r="C26" s="147"/>
      <c r="D26" s="148"/>
      <c r="E26" s="105" t="s">
        <v>134</v>
      </c>
      <c r="F26" s="98">
        <f>F22+F24</f>
        <v>375055.70712682354</v>
      </c>
      <c r="G26" s="182"/>
      <c r="H26" s="74"/>
      <c r="I26" s="175"/>
      <c r="J26" s="74"/>
      <c r="K26" s="74"/>
      <c r="L26" s="74"/>
      <c r="M26" s="74"/>
      <c r="N26" s="74"/>
      <c r="O26" s="74"/>
      <c r="P26" s="112"/>
      <c r="Q26" s="74"/>
      <c r="R26" s="74"/>
      <c r="S26" s="74"/>
      <c r="T26" s="74"/>
      <c r="U26" s="74"/>
      <c r="V26" s="352"/>
      <c r="W26" s="352"/>
    </row>
    <row r="27" spans="1:23" x14ac:dyDescent="0.3">
      <c r="A27" s="74"/>
      <c r="B27" s="74"/>
      <c r="C27" s="93"/>
      <c r="D27" s="93"/>
      <c r="E27" s="93"/>
      <c r="F27" s="86"/>
      <c r="G27" s="86"/>
      <c r="H27" s="74"/>
      <c r="I27" s="74"/>
      <c r="J27" s="74"/>
      <c r="K27" s="74"/>
      <c r="L27" s="74"/>
      <c r="M27" s="74"/>
      <c r="N27" s="74"/>
      <c r="O27" s="74"/>
      <c r="P27" s="112"/>
      <c r="Q27" s="74"/>
      <c r="R27" s="74"/>
      <c r="S27" s="74"/>
      <c r="T27" s="74"/>
      <c r="U27" s="74"/>
      <c r="V27" s="352"/>
      <c r="W27" s="352"/>
    </row>
    <row r="28" spans="1:23" x14ac:dyDescent="0.3">
      <c r="A28" s="74"/>
      <c r="B28" s="74"/>
      <c r="C28" s="143"/>
      <c r="D28" s="144"/>
      <c r="E28" s="145" t="s">
        <v>135</v>
      </c>
      <c r="F28" s="142">
        <f>SUM(S6:S15)</f>
        <v>1647582.9570296286</v>
      </c>
      <c r="G28" s="86"/>
      <c r="H28" s="74"/>
      <c r="I28" s="74"/>
      <c r="J28" s="74"/>
      <c r="K28" s="88"/>
      <c r="L28" s="91" t="s">
        <v>145</v>
      </c>
      <c r="M28" s="74"/>
      <c r="N28" s="74"/>
      <c r="O28" s="74"/>
      <c r="P28" s="112"/>
      <c r="Q28" s="74"/>
      <c r="R28" s="74"/>
      <c r="S28" s="74"/>
      <c r="T28" s="74"/>
      <c r="U28" s="74"/>
      <c r="V28" s="352"/>
    </row>
    <row r="29" spans="1:23" ht="15" customHeight="1" x14ac:dyDescent="0.3">
      <c r="A29" s="74"/>
      <c r="B29" s="84"/>
      <c r="C29" s="95"/>
      <c r="D29" s="135"/>
      <c r="E29" s="96" t="s">
        <v>136</v>
      </c>
      <c r="F29" s="152">
        <f>SUM(K18:M18)</f>
        <v>2488123.1111897649</v>
      </c>
      <c r="G29" s="86"/>
      <c r="H29" s="74"/>
      <c r="I29" s="74"/>
      <c r="J29" s="74"/>
      <c r="K29" s="100" t="s">
        <v>138</v>
      </c>
      <c r="L29" s="227">
        <f>F25/F30*1000</f>
        <v>7.357619483383032</v>
      </c>
      <c r="M29" s="73" t="s">
        <v>153</v>
      </c>
      <c r="N29" s="74"/>
      <c r="O29" s="74"/>
      <c r="P29" s="112"/>
      <c r="Q29" s="74"/>
      <c r="R29" s="74"/>
      <c r="S29" s="74"/>
      <c r="T29" s="74"/>
      <c r="U29" s="74"/>
      <c r="V29" s="352"/>
    </row>
    <row r="30" spans="1:23" x14ac:dyDescent="0.3">
      <c r="A30" s="74"/>
      <c r="B30" s="84"/>
      <c r="C30" s="386" t="s">
        <v>137</v>
      </c>
      <c r="D30" s="386"/>
      <c r="E30" s="386"/>
      <c r="F30" s="98">
        <f>F28+F29</f>
        <v>4135706.0682193935</v>
      </c>
      <c r="G30" s="86"/>
      <c r="H30" s="74"/>
      <c r="I30" s="74"/>
      <c r="J30" s="74"/>
      <c r="K30" s="100" t="s">
        <v>140</v>
      </c>
      <c r="L30" s="227">
        <f>F26/F33*1000</f>
        <v>6.5058278571645962</v>
      </c>
      <c r="M30" s="73" t="s">
        <v>153</v>
      </c>
      <c r="N30" s="74"/>
      <c r="O30" s="74"/>
      <c r="P30" s="74"/>
      <c r="Q30" s="74"/>
      <c r="R30" s="74"/>
      <c r="S30" s="74"/>
      <c r="T30" s="74"/>
      <c r="U30" s="74"/>
      <c r="V30" s="352"/>
    </row>
    <row r="31" spans="1:23" x14ac:dyDescent="0.3">
      <c r="A31" s="74"/>
      <c r="B31" s="84"/>
      <c r="C31" s="387" t="s">
        <v>139</v>
      </c>
      <c r="D31" s="387"/>
      <c r="E31" s="387"/>
      <c r="F31" s="99">
        <f>SUM(T6:T15)</f>
        <v>28824595.067773771</v>
      </c>
      <c r="G31" s="86"/>
      <c r="H31" s="74"/>
      <c r="I31" s="74"/>
      <c r="J31" s="74"/>
      <c r="K31" s="243" t="s">
        <v>154</v>
      </c>
      <c r="L31" s="244">
        <f>2*(ABS(L29-L30))/(L29+L30)</f>
        <v>0.12288309037350714</v>
      </c>
      <c r="M31" s="74"/>
      <c r="N31" s="74"/>
      <c r="O31" s="74"/>
      <c r="P31" s="74"/>
      <c r="Q31" s="74"/>
      <c r="R31" s="74"/>
      <c r="S31" s="74"/>
      <c r="T31" s="74"/>
      <c r="U31" s="74"/>
      <c r="V31" s="352"/>
    </row>
    <row r="32" spans="1:23" x14ac:dyDescent="0.3">
      <c r="A32" s="74"/>
      <c r="B32" s="84"/>
      <c r="C32" s="387" t="s">
        <v>141</v>
      </c>
      <c r="D32" s="387"/>
      <c r="E32" s="387"/>
      <c r="F32" s="99">
        <f>SUM(E18:J18)</f>
        <v>28824595.067773767</v>
      </c>
      <c r="G32" s="86"/>
      <c r="H32" s="74"/>
      <c r="I32" s="77"/>
      <c r="J32" s="77"/>
      <c r="K32" s="384" t="str">
        <f>IF(L31&lt;0.1,"justification not required","justification required!")</f>
        <v>justification required!</v>
      </c>
      <c r="L32" s="385"/>
      <c r="M32" s="74"/>
      <c r="N32" s="74"/>
      <c r="O32" s="74"/>
      <c r="P32" s="74"/>
      <c r="Q32" s="74"/>
      <c r="R32" s="74"/>
      <c r="S32" s="74"/>
      <c r="T32" s="74"/>
      <c r="U32" s="74"/>
      <c r="V32" s="352"/>
    </row>
    <row r="33" spans="1:22" x14ac:dyDescent="0.3">
      <c r="A33" s="74"/>
      <c r="B33" s="84"/>
      <c r="C33" s="381" t="s">
        <v>142</v>
      </c>
      <c r="D33" s="381"/>
      <c r="E33" s="381"/>
      <c r="F33" s="98">
        <f>F31+F32</f>
        <v>57649190.135547534</v>
      </c>
      <c r="G33" s="86"/>
      <c r="H33" s="74"/>
      <c r="I33" s="77"/>
      <c r="J33" s="77"/>
      <c r="K33" s="77"/>
      <c r="L33" s="77"/>
      <c r="M33" s="74"/>
      <c r="N33" s="74"/>
      <c r="O33" s="74"/>
      <c r="Q33" s="74"/>
      <c r="R33" s="74"/>
      <c r="S33" s="74"/>
      <c r="T33" s="74"/>
      <c r="U33" s="74"/>
      <c r="V33" s="352"/>
    </row>
    <row r="34" spans="1:22" x14ac:dyDescent="0.3">
      <c r="A34" s="74"/>
      <c r="B34" s="84"/>
      <c r="C34" s="74"/>
      <c r="D34" s="74"/>
      <c r="E34" s="74"/>
      <c r="F34" s="74"/>
      <c r="G34" s="74"/>
      <c r="H34" s="86"/>
      <c r="I34" s="77"/>
      <c r="J34" s="77"/>
      <c r="K34" s="78"/>
      <c r="L34" s="78"/>
      <c r="M34" s="74"/>
      <c r="N34" s="74"/>
      <c r="O34" s="74"/>
      <c r="P34" s="74"/>
      <c r="Q34" s="74"/>
      <c r="R34" s="74"/>
      <c r="S34" s="74"/>
      <c r="T34" s="74"/>
      <c r="U34" s="74"/>
      <c r="V34" s="352"/>
    </row>
    <row r="35" spans="1:22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4"/>
      <c r="N35" s="74"/>
      <c r="O35" s="74"/>
      <c r="P35" s="74"/>
      <c r="Q35" s="74"/>
      <c r="R35" s="74"/>
      <c r="S35" s="74"/>
      <c r="T35" s="74"/>
      <c r="U35" s="74"/>
      <c r="V35" s="352"/>
    </row>
    <row r="36" spans="1:22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7"/>
      <c r="R36" s="87"/>
      <c r="S36" s="87"/>
      <c r="T36" s="77"/>
      <c r="U36" s="77"/>
      <c r="V36" s="352"/>
    </row>
    <row r="37" spans="1:22" s="74" customForma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M37" s="77"/>
      <c r="N37" s="77"/>
      <c r="O37" s="77"/>
      <c r="P37" s="77"/>
      <c r="Q37" s="77"/>
      <c r="R37" s="77"/>
      <c r="S37" s="77"/>
      <c r="T37" s="77"/>
      <c r="U37" s="77"/>
      <c r="V37" s="352"/>
    </row>
    <row r="38" spans="1:22" s="74" customForma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M38" s="78"/>
      <c r="N38" s="78"/>
      <c r="O38" s="78"/>
      <c r="P38" s="78"/>
      <c r="Q38" s="78"/>
      <c r="R38" s="78"/>
      <c r="S38" s="78"/>
      <c r="T38" s="78"/>
      <c r="U38" s="78"/>
      <c r="V38" s="352"/>
    </row>
    <row r="39" spans="1:22" s="74" customForma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M39" s="77"/>
      <c r="N39" s="77"/>
      <c r="O39" s="77"/>
      <c r="P39" s="77"/>
      <c r="Q39" s="77"/>
      <c r="R39" s="77"/>
      <c r="S39" s="77"/>
      <c r="T39" s="77"/>
      <c r="U39" s="77"/>
      <c r="V39" s="352"/>
    </row>
    <row r="40" spans="1:22" s="74" customForma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M40" s="77"/>
      <c r="N40" s="77"/>
      <c r="O40" s="77"/>
      <c r="P40" s="77"/>
      <c r="Q40" s="77"/>
      <c r="R40" s="77"/>
      <c r="S40" s="77"/>
      <c r="T40" s="77"/>
      <c r="U40" s="77"/>
      <c r="V40" s="352"/>
    </row>
    <row r="41" spans="1:22" s="74" customForma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V41" s="352"/>
    </row>
    <row r="42" spans="1:22" s="74" customFormat="1" x14ac:dyDescent="0.3"/>
    <row r="43" spans="1:22" s="74" customFormat="1" x14ac:dyDescent="0.3"/>
    <row r="44" spans="1:22" s="74" customFormat="1" x14ac:dyDescent="0.3"/>
    <row r="45" spans="1:22" s="74" customFormat="1" x14ac:dyDescent="0.3"/>
    <row r="46" spans="1:22" s="74" customFormat="1" x14ac:dyDescent="0.3"/>
    <row r="47" spans="1:22" s="74" customFormat="1" x14ac:dyDescent="0.3"/>
    <row r="48" spans="1:22" s="74" customFormat="1" x14ac:dyDescent="0.3"/>
    <row r="49" s="74" customFormat="1" x14ac:dyDescent="0.3"/>
    <row r="50" s="74" customFormat="1" x14ac:dyDescent="0.3"/>
    <row r="51" s="74" customFormat="1" x14ac:dyDescent="0.3"/>
    <row r="52" s="74" customFormat="1" x14ac:dyDescent="0.3"/>
    <row r="53" s="74" customFormat="1" x14ac:dyDescent="0.3"/>
    <row r="54" s="74" customFormat="1" x14ac:dyDescent="0.3"/>
    <row r="55" s="74" customFormat="1" x14ac:dyDescent="0.3"/>
    <row r="56" s="74" customFormat="1" x14ac:dyDescent="0.3"/>
    <row r="57" s="74" customFormat="1" x14ac:dyDescent="0.3"/>
    <row r="58" s="74" customFormat="1" x14ac:dyDescent="0.3"/>
    <row r="59" s="74" customFormat="1" x14ac:dyDescent="0.3"/>
    <row r="60" s="74" customFormat="1" x14ac:dyDescent="0.3"/>
    <row r="61" s="74" customFormat="1" x14ac:dyDescent="0.3"/>
    <row r="62" s="74" customFormat="1" x14ac:dyDescent="0.3"/>
    <row r="63" s="74" customFormat="1" x14ac:dyDescent="0.3"/>
    <row r="64" s="74" customFormat="1" x14ac:dyDescent="0.3"/>
    <row r="65" s="74" customFormat="1" x14ac:dyDescent="0.3"/>
    <row r="66" s="74" customFormat="1" x14ac:dyDescent="0.3"/>
    <row r="67" s="74" customFormat="1" x14ac:dyDescent="0.3"/>
    <row r="68" s="74" customFormat="1" x14ac:dyDescent="0.3"/>
    <row r="69" s="74" customFormat="1" x14ac:dyDescent="0.3"/>
    <row r="70" s="74" customFormat="1" x14ac:dyDescent="0.3"/>
    <row r="71" s="74" customFormat="1" x14ac:dyDescent="0.3"/>
    <row r="72" s="74" customFormat="1" x14ac:dyDescent="0.3"/>
    <row r="73" s="74" customFormat="1" x14ac:dyDescent="0.3"/>
  </sheetData>
  <sheetProtection algorithmName="SHA-512" hashValue="7/Ltm4fBVtzwirdFpuSXZ/cwJPam6dR+O774Pee9KdJIqrZRUsKjNfKyeLq1aUBQbdQOdgoUp3wJsAenn7KRIA==" saltValue="ImuVCzfK3DV9tnOipohcfA==" spinCount="100000" sheet="1" objects="1" scenarios="1"/>
  <mergeCells count="9">
    <mergeCell ref="C4:D5"/>
    <mergeCell ref="E2:M2"/>
    <mergeCell ref="C33:E33"/>
    <mergeCell ref="B6:B15"/>
    <mergeCell ref="K32:L32"/>
    <mergeCell ref="C30:E30"/>
    <mergeCell ref="C31:E31"/>
    <mergeCell ref="C32:E32"/>
    <mergeCell ref="C18:D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4">
    <tabColor theme="3" tint="0.39997558519241921"/>
  </sheetPr>
  <dimension ref="A1:V37"/>
  <sheetViews>
    <sheetView workbookViewId="0">
      <selection activeCell="J11" sqref="J11"/>
    </sheetView>
  </sheetViews>
  <sheetFormatPr baseColWidth="10" defaultColWidth="11.5546875" defaultRowHeight="14.4" x14ac:dyDescent="0.3"/>
  <cols>
    <col min="1" max="1" width="18.109375" style="163" customWidth="1"/>
    <col min="2" max="2" width="12" style="163" customWidth="1"/>
    <col min="3" max="4" width="11.5546875" style="163" customWidth="1"/>
    <col min="5" max="5" width="17.44140625" style="163" customWidth="1"/>
    <col min="6" max="6" width="24" style="163" customWidth="1"/>
    <col min="7" max="7" width="13.109375" style="163" customWidth="1"/>
    <col min="8" max="8" width="33.5546875" style="163" bestFit="1" customWidth="1"/>
    <col min="9" max="22" width="11.5546875" style="171"/>
    <col min="23" max="16384" width="11.5546875" style="163"/>
  </cols>
  <sheetData>
    <row r="1" spans="1:22" s="171" customFormat="1" ht="15" thickBot="1" x14ac:dyDescent="0.35"/>
    <row r="2" spans="1:22" ht="15" thickBot="1" x14ac:dyDescent="0.35">
      <c r="A2" s="171"/>
      <c r="B2" s="171"/>
      <c r="C2" s="171"/>
      <c r="D2" s="171"/>
      <c r="E2" s="171"/>
      <c r="F2" s="167" t="s">
        <v>207</v>
      </c>
      <c r="G2" s="234">
        <f>G10-G20</f>
        <v>0.66799571999999952</v>
      </c>
    </row>
    <row r="3" spans="1:22" s="171" customFormat="1" x14ac:dyDescent="0.3">
      <c r="A3" s="328" t="s">
        <v>206</v>
      </c>
      <c r="D3" s="353" t="s">
        <v>271</v>
      </c>
      <c r="E3" s="294" t="s">
        <v>270</v>
      </c>
      <c r="F3" s="294"/>
    </row>
    <row r="4" spans="1:22" s="171" customFormat="1" x14ac:dyDescent="0.3"/>
    <row r="5" spans="1:22" s="156" customFormat="1" ht="43.2" x14ac:dyDescent="0.3">
      <c r="A5" s="229" t="s">
        <v>68</v>
      </c>
      <c r="B5" s="229" t="s">
        <v>66</v>
      </c>
      <c r="C5" s="229" t="s">
        <v>201</v>
      </c>
      <c r="D5" s="229" t="s">
        <v>200</v>
      </c>
      <c r="E5" s="229" t="s">
        <v>199</v>
      </c>
      <c r="F5" s="229" t="s">
        <v>198</v>
      </c>
      <c r="G5" s="229" t="s">
        <v>197</v>
      </c>
      <c r="H5" s="228" t="s">
        <v>196</v>
      </c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</row>
    <row r="6" spans="1:22" s="171" customFormat="1" x14ac:dyDescent="0.3">
      <c r="A6" s="171" t="s">
        <v>90</v>
      </c>
      <c r="B6" s="171" t="s">
        <v>69</v>
      </c>
      <c r="C6" s="171" t="s">
        <v>195</v>
      </c>
      <c r="D6" s="354"/>
      <c r="E6" s="354">
        <v>0.89600000000000013</v>
      </c>
      <c r="F6" s="354"/>
      <c r="G6" s="355"/>
      <c r="H6" s="171" t="s">
        <v>205</v>
      </c>
    </row>
    <row r="7" spans="1:22" x14ac:dyDescent="0.3">
      <c r="A7" s="125" t="s">
        <v>90</v>
      </c>
      <c r="B7" s="125" t="s">
        <v>57</v>
      </c>
      <c r="C7" s="125" t="s">
        <v>204</v>
      </c>
      <c r="D7" s="165"/>
      <c r="E7" s="165">
        <v>2.6739299999999999</v>
      </c>
      <c r="F7" s="165"/>
      <c r="G7" s="165">
        <f>E7+D7*8760*F7</f>
        <v>2.6739299999999999</v>
      </c>
      <c r="H7" s="125" t="s">
        <v>272</v>
      </c>
    </row>
    <row r="8" spans="1:22" x14ac:dyDescent="0.3">
      <c r="A8" s="125" t="s">
        <v>203</v>
      </c>
      <c r="B8" s="125" t="s">
        <v>69</v>
      </c>
      <c r="C8" s="125" t="s">
        <v>204</v>
      </c>
      <c r="D8" s="166">
        <v>0.86</v>
      </c>
      <c r="E8" s="165">
        <v>2.2195200000000002</v>
      </c>
      <c r="F8" s="165">
        <f>0.13911/1000</f>
        <v>1.3911000000000001E-4</v>
      </c>
      <c r="G8" s="165">
        <f>E8+D8*8760*F8</f>
        <v>3.267519096</v>
      </c>
      <c r="H8" s="125" t="s">
        <v>272</v>
      </c>
    </row>
    <row r="9" spans="1:22" s="171" customFormat="1" x14ac:dyDescent="0.3">
      <c r="A9" s="171" t="s">
        <v>203</v>
      </c>
      <c r="B9" s="171" t="s">
        <v>57</v>
      </c>
      <c r="C9" s="171" t="s">
        <v>190</v>
      </c>
      <c r="D9" s="356"/>
      <c r="E9" s="390"/>
      <c r="F9" s="390"/>
      <c r="G9" s="391"/>
      <c r="H9" s="171" t="s">
        <v>189</v>
      </c>
    </row>
    <row r="10" spans="1:22" x14ac:dyDescent="0.3">
      <c r="A10" s="171"/>
      <c r="B10" s="171"/>
      <c r="C10" s="171"/>
      <c r="D10" s="171"/>
      <c r="E10" s="361"/>
      <c r="F10" s="362" t="s">
        <v>188</v>
      </c>
      <c r="G10" s="290">
        <f>SUM(G6:G9)</f>
        <v>5.9414490959999995</v>
      </c>
    </row>
    <row r="11" spans="1:22" s="171" customFormat="1" x14ac:dyDescent="0.3">
      <c r="A11" s="171" t="s">
        <v>187</v>
      </c>
      <c r="E11" s="357"/>
      <c r="F11" s="357"/>
      <c r="G11" s="357"/>
    </row>
    <row r="12" spans="1:22" s="171" customFormat="1" x14ac:dyDescent="0.3">
      <c r="E12" s="357"/>
      <c r="F12" s="358"/>
      <c r="G12" s="357"/>
    </row>
    <row r="13" spans="1:22" s="171" customFormat="1" x14ac:dyDescent="0.3">
      <c r="A13" s="328" t="s">
        <v>202</v>
      </c>
      <c r="E13" s="357"/>
      <c r="F13" s="357"/>
      <c r="G13" s="357"/>
    </row>
    <row r="14" spans="1:22" s="171" customFormat="1" x14ac:dyDescent="0.3">
      <c r="E14" s="357"/>
      <c r="F14" s="357"/>
      <c r="G14" s="357"/>
    </row>
    <row r="15" spans="1:22" s="156" customFormat="1" ht="43.2" x14ac:dyDescent="0.3">
      <c r="A15" s="229" t="s">
        <v>68</v>
      </c>
      <c r="B15" s="229" t="s">
        <v>66</v>
      </c>
      <c r="C15" s="229" t="s">
        <v>201</v>
      </c>
      <c r="D15" s="229" t="s">
        <v>200</v>
      </c>
      <c r="E15" s="229" t="s">
        <v>199</v>
      </c>
      <c r="F15" s="230" t="s">
        <v>198</v>
      </c>
      <c r="G15" s="230" t="s">
        <v>197</v>
      </c>
      <c r="H15" s="228" t="s">
        <v>196</v>
      </c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</row>
    <row r="16" spans="1:22" s="171" customFormat="1" x14ac:dyDescent="0.3">
      <c r="A16" s="171" t="s">
        <v>73</v>
      </c>
      <c r="B16" s="171" t="s">
        <v>69</v>
      </c>
      <c r="C16" s="171" t="s">
        <v>195</v>
      </c>
      <c r="D16" s="356"/>
      <c r="E16" s="354"/>
      <c r="F16" s="354"/>
      <c r="G16" s="359"/>
      <c r="H16" s="171" t="s">
        <v>81</v>
      </c>
    </row>
    <row r="17" spans="1:8" x14ac:dyDescent="0.3">
      <c r="A17" s="125" t="s">
        <v>194</v>
      </c>
      <c r="B17" s="125" t="s">
        <v>57</v>
      </c>
      <c r="C17" s="125" t="s">
        <v>193</v>
      </c>
      <c r="D17" s="166">
        <f>$D$8</f>
        <v>0.86</v>
      </c>
      <c r="E17" s="165">
        <v>2.7561599999999999</v>
      </c>
      <c r="F17" s="165"/>
      <c r="G17" s="165">
        <f>E17+D17*8760*F17</f>
        <v>2.7561599999999999</v>
      </c>
      <c r="H17" s="125" t="s">
        <v>192</v>
      </c>
    </row>
    <row r="18" spans="1:8" x14ac:dyDescent="0.3">
      <c r="A18" s="125" t="s">
        <v>191</v>
      </c>
      <c r="B18" s="125" t="s">
        <v>69</v>
      </c>
      <c r="C18" s="125" t="s">
        <v>193</v>
      </c>
      <c r="D18" s="166">
        <f>$D$8</f>
        <v>0.86</v>
      </c>
      <c r="E18" s="165">
        <v>1.5367200000000001</v>
      </c>
      <c r="F18" s="165">
        <f>0.13016/1000</f>
        <v>1.3015999999999999E-4</v>
      </c>
      <c r="G18" s="165">
        <f>E18+D18*8760*F18</f>
        <v>2.517293376</v>
      </c>
      <c r="H18" s="125" t="s">
        <v>192</v>
      </c>
    </row>
    <row r="19" spans="1:8" s="171" customFormat="1" x14ac:dyDescent="0.3">
      <c r="A19" s="171" t="s">
        <v>191</v>
      </c>
      <c r="B19" s="171" t="s">
        <v>57</v>
      </c>
      <c r="C19" s="171" t="s">
        <v>190</v>
      </c>
      <c r="D19" s="356"/>
      <c r="E19" s="390"/>
      <c r="F19" s="390"/>
      <c r="G19" s="391"/>
      <c r="H19" s="171" t="s">
        <v>189</v>
      </c>
    </row>
    <row r="20" spans="1:8" x14ac:dyDescent="0.3">
      <c r="A20" s="171"/>
      <c r="B20" s="171"/>
      <c r="C20" s="171"/>
      <c r="D20" s="171"/>
      <c r="E20" s="361"/>
      <c r="F20" s="362" t="s">
        <v>188</v>
      </c>
      <c r="G20" s="290">
        <f>SUM(G16:G19)</f>
        <v>5.273453376</v>
      </c>
    </row>
    <row r="21" spans="1:8" s="171" customFormat="1" x14ac:dyDescent="0.3">
      <c r="A21" s="171" t="s">
        <v>187</v>
      </c>
    </row>
    <row r="22" spans="1:8" s="171" customFormat="1" x14ac:dyDescent="0.3"/>
    <row r="23" spans="1:8" s="171" customFormat="1" x14ac:dyDescent="0.3"/>
    <row r="24" spans="1:8" s="171" customFormat="1" x14ac:dyDescent="0.3"/>
    <row r="25" spans="1:8" s="171" customFormat="1" x14ac:dyDescent="0.3"/>
    <row r="26" spans="1:8" s="171" customFormat="1" x14ac:dyDescent="0.3"/>
    <row r="27" spans="1:8" s="171" customFormat="1" x14ac:dyDescent="0.3"/>
    <row r="28" spans="1:8" s="171" customFormat="1" x14ac:dyDescent="0.3"/>
    <row r="29" spans="1:8" s="171" customFormat="1" x14ac:dyDescent="0.3"/>
    <row r="30" spans="1:8" s="171" customFormat="1" x14ac:dyDescent="0.3"/>
    <row r="31" spans="1:8" s="171" customFormat="1" x14ac:dyDescent="0.3"/>
    <row r="32" spans="1:8" s="171" customFormat="1" x14ac:dyDescent="0.3"/>
    <row r="33" s="171" customFormat="1" x14ac:dyDescent="0.3"/>
    <row r="34" s="171" customFormat="1" x14ac:dyDescent="0.3"/>
    <row r="35" s="171" customFormat="1" x14ac:dyDescent="0.3"/>
    <row r="36" s="171" customFormat="1" x14ac:dyDescent="0.3"/>
    <row r="37" s="171" customFormat="1" x14ac:dyDescent="0.3"/>
  </sheetData>
  <sheetProtection algorithmName="SHA-512" hashValue="Nn4+xW3qN2ignL9F6pS/ipveKnzlDB2LaKrKlD3md6X4ecVKaxTPwq68czaEKCcbXs66SeL9nOf4O7n9K2K7MQ==" saltValue="h3HyKnUEhZzZZ9RnNYTxQQ==" spinCount="100000" sheet="1" objects="1" scenarios="1"/>
  <mergeCells count="2">
    <mergeCell ref="E9:G9"/>
    <mergeCell ref="E19:G1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6">
    <tabColor rgb="FFFFFF00"/>
  </sheetPr>
  <dimension ref="A1:A4"/>
  <sheetViews>
    <sheetView workbookViewId="0">
      <selection activeCell="D9" sqref="D9"/>
    </sheetView>
  </sheetViews>
  <sheetFormatPr baseColWidth="10" defaultRowHeight="14.4" x14ac:dyDescent="0.3"/>
  <cols>
    <col min="1" max="1" width="39.5546875" style="171" bestFit="1" customWidth="1"/>
    <col min="2" max="2" width="7.5546875" style="171" bestFit="1" customWidth="1"/>
    <col min="3" max="3" width="21.5546875" style="171" bestFit="1" customWidth="1"/>
    <col min="4" max="4" width="15.109375" style="171" bestFit="1" customWidth="1"/>
    <col min="5" max="5" width="18.44140625" style="171" bestFit="1" customWidth="1"/>
    <col min="6" max="6" width="25" style="171" bestFit="1" customWidth="1"/>
    <col min="7" max="7" width="17" style="171" bestFit="1" customWidth="1"/>
    <col min="8" max="8" width="13" style="171" bestFit="1" customWidth="1"/>
    <col min="9" max="16384" width="11.5546875" style="171"/>
  </cols>
  <sheetData>
    <row r="1" spans="1:1" x14ac:dyDescent="0.3">
      <c r="A1" s="295"/>
    </row>
    <row r="2" spans="1:1" x14ac:dyDescent="0.3">
      <c r="A2" s="295"/>
    </row>
    <row r="3" spans="1:1" x14ac:dyDescent="0.3">
      <c r="A3" s="295"/>
    </row>
    <row r="4" spans="1:1" x14ac:dyDescent="0.3">
      <c r="A4" s="29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8">
    <tabColor rgb="FFFFFF99"/>
  </sheetPr>
  <dimension ref="A3:AL275"/>
  <sheetViews>
    <sheetView topLeftCell="A7" zoomScaleNormal="100" workbookViewId="0">
      <selection activeCell="U13" sqref="U13"/>
    </sheetView>
  </sheetViews>
  <sheetFormatPr baseColWidth="10" defaultRowHeight="14.4" outlineLevelCol="1" x14ac:dyDescent="0.3"/>
  <cols>
    <col min="1" max="1" width="7.44140625" style="297" customWidth="1"/>
    <col min="2" max="2" width="9.5546875" style="297" customWidth="1"/>
    <col min="3" max="3" width="8.44140625" style="297" customWidth="1"/>
    <col min="4" max="4" width="15.5546875" style="297" bestFit="1" customWidth="1"/>
    <col min="5" max="5" width="17.44140625" style="297" bestFit="1" customWidth="1"/>
    <col min="6" max="6" width="11.5546875" style="297" customWidth="1"/>
    <col min="7" max="7" width="14.109375" style="297" customWidth="1"/>
    <col min="8" max="8" width="12.44140625" style="297" customWidth="1"/>
    <col min="9" max="9" width="3.88671875" style="297" customWidth="1"/>
    <col min="10" max="10" width="11.5546875" style="297" customWidth="1"/>
    <col min="11" max="11" width="18" style="297" customWidth="1"/>
    <col min="12" max="12" width="13.6640625" style="297" customWidth="1"/>
    <col min="13" max="13" width="11.5546875" style="297"/>
    <col min="14" max="14" width="13.6640625" style="297" hidden="1" customWidth="1" outlineLevel="1"/>
    <col min="15" max="17" width="11.5546875" style="297" hidden="1" customWidth="1" outlineLevel="1"/>
    <col min="18" max="18" width="12.5546875" style="297" hidden="1" customWidth="1" outlineLevel="1"/>
    <col min="19" max="19" width="11.5546875" style="297" collapsed="1"/>
    <col min="20" max="20" width="13.33203125" style="297" bestFit="1" customWidth="1"/>
    <col min="21" max="16384" width="11.5546875" style="297"/>
  </cols>
  <sheetData>
    <row r="3" spans="1:38" ht="15" thickBot="1" x14ac:dyDescent="0.35">
      <c r="F3" s="298" t="s">
        <v>117</v>
      </c>
      <c r="G3" s="298" t="s">
        <v>128</v>
      </c>
      <c r="H3" s="299" t="s">
        <v>118</v>
      </c>
      <c r="L3" s="300" t="s">
        <v>87</v>
      </c>
      <c r="N3" s="300" t="s">
        <v>88</v>
      </c>
      <c r="O3" s="298" t="s">
        <v>117</v>
      </c>
      <c r="P3" s="298" t="s">
        <v>117</v>
      </c>
      <c r="Q3" s="298" t="s">
        <v>108</v>
      </c>
      <c r="R3" s="298" t="s">
        <v>108</v>
      </c>
      <c r="V3" s="301"/>
      <c r="W3" s="301"/>
      <c r="X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</row>
    <row r="4" spans="1:38" ht="58.2" thickBot="1" x14ac:dyDescent="0.35">
      <c r="A4" s="302" t="s">
        <v>65</v>
      </c>
      <c r="B4" s="302" t="s">
        <v>66</v>
      </c>
      <c r="C4" s="302" t="s">
        <v>67</v>
      </c>
      <c r="D4" s="302" t="s">
        <v>50</v>
      </c>
      <c r="E4" s="302" t="s">
        <v>68</v>
      </c>
      <c r="F4" s="303" t="s">
        <v>232</v>
      </c>
      <c r="G4" s="304" t="s">
        <v>291</v>
      </c>
      <c r="H4" s="305" t="s">
        <v>273</v>
      </c>
      <c r="J4" s="302" t="s">
        <v>66</v>
      </c>
      <c r="K4" s="302" t="s">
        <v>68</v>
      </c>
      <c r="L4" s="304" t="s">
        <v>122</v>
      </c>
      <c r="N4" s="304" t="s">
        <v>121</v>
      </c>
      <c r="O4" s="306" t="s">
        <v>230</v>
      </c>
      <c r="P4" s="306" t="s">
        <v>231</v>
      </c>
      <c r="Q4" s="306" t="s">
        <v>53</v>
      </c>
      <c r="R4" s="306" t="s">
        <v>54</v>
      </c>
      <c r="U4" s="307"/>
      <c r="V4" s="301"/>
      <c r="W4" s="301"/>
      <c r="X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</row>
    <row r="5" spans="1:38" x14ac:dyDescent="0.3">
      <c r="A5" s="308" t="s">
        <v>0</v>
      </c>
      <c r="B5" s="309" t="s">
        <v>57</v>
      </c>
      <c r="C5" s="301" t="s">
        <v>70</v>
      </c>
      <c r="D5" s="297" t="s">
        <v>85</v>
      </c>
      <c r="E5" s="297" t="s">
        <v>58</v>
      </c>
      <c r="F5" s="310">
        <v>0.77</v>
      </c>
      <c r="G5" s="363">
        <v>24228218.73</v>
      </c>
      <c r="H5" s="311">
        <f t="shared" ref="H5:H34" si="0">G5/GCV/1000</f>
        <v>2165.1669999999999</v>
      </c>
      <c r="J5" s="308" t="s">
        <v>57</v>
      </c>
      <c r="K5" s="301" t="s">
        <v>56</v>
      </c>
      <c r="L5" s="313">
        <v>17377622</v>
      </c>
      <c r="N5" s="312">
        <v>381.59447</v>
      </c>
      <c r="O5" s="314">
        <v>1.3</v>
      </c>
      <c r="P5" s="314">
        <v>0.62</v>
      </c>
      <c r="Q5" s="301"/>
      <c r="R5" s="301"/>
      <c r="U5" s="307"/>
      <c r="V5" s="301"/>
      <c r="W5" s="301"/>
      <c r="X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</row>
    <row r="6" spans="1:38" x14ac:dyDescent="0.3">
      <c r="A6" s="308" t="s">
        <v>0</v>
      </c>
      <c r="B6" s="309" t="s">
        <v>57</v>
      </c>
      <c r="C6" s="301" t="s">
        <v>70</v>
      </c>
      <c r="D6" s="297" t="s">
        <v>85</v>
      </c>
      <c r="E6" s="297" t="s">
        <v>59</v>
      </c>
      <c r="F6" s="310">
        <v>1.3</v>
      </c>
      <c r="G6" s="363">
        <v>9651005.7300000004</v>
      </c>
      <c r="H6" s="311">
        <f t="shared" si="0"/>
        <v>862.4670000000001</v>
      </c>
      <c r="J6" s="308" t="s">
        <v>57</v>
      </c>
      <c r="K6" s="301" t="s">
        <v>58</v>
      </c>
      <c r="L6" s="313">
        <v>96080396</v>
      </c>
      <c r="N6" s="312">
        <v>3</v>
      </c>
      <c r="O6" s="314">
        <v>0.77</v>
      </c>
      <c r="P6" s="314">
        <v>0</v>
      </c>
      <c r="Q6" s="301"/>
      <c r="R6" s="301"/>
      <c r="U6" s="307"/>
      <c r="V6" s="301"/>
      <c r="W6" s="301"/>
      <c r="X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</row>
    <row r="7" spans="1:38" x14ac:dyDescent="0.3">
      <c r="A7" s="308" t="s">
        <v>0</v>
      </c>
      <c r="B7" s="309" t="s">
        <v>57</v>
      </c>
      <c r="C7" s="301" t="s">
        <v>70</v>
      </c>
      <c r="D7" s="297" t="s">
        <v>85</v>
      </c>
      <c r="E7" s="297" t="s">
        <v>60</v>
      </c>
      <c r="F7" s="310">
        <v>1.3</v>
      </c>
      <c r="G7" s="363">
        <v>1393155</v>
      </c>
      <c r="H7" s="311">
        <f t="shared" si="0"/>
        <v>124.5</v>
      </c>
      <c r="J7" s="308" t="s">
        <v>57</v>
      </c>
      <c r="K7" s="301" t="s">
        <v>59</v>
      </c>
      <c r="L7" s="313">
        <f>10349306-L8</f>
        <v>5599151</v>
      </c>
      <c r="N7" s="312">
        <v>242</v>
      </c>
      <c r="O7" s="314">
        <v>1.3</v>
      </c>
      <c r="P7" s="314">
        <v>0</v>
      </c>
      <c r="Q7" s="301"/>
      <c r="R7" s="301"/>
      <c r="U7" s="307"/>
      <c r="V7" s="301"/>
      <c r="W7" s="301"/>
      <c r="X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</row>
    <row r="8" spans="1:38" x14ac:dyDescent="0.3">
      <c r="A8" s="308" t="s">
        <v>0</v>
      </c>
      <c r="B8" s="309" t="s">
        <v>57</v>
      </c>
      <c r="C8" s="301" t="s">
        <v>70</v>
      </c>
      <c r="D8" s="297" t="s">
        <v>85</v>
      </c>
      <c r="E8" s="307" t="s">
        <v>90</v>
      </c>
      <c r="F8" s="310">
        <v>0.77</v>
      </c>
      <c r="G8" s="363">
        <v>0</v>
      </c>
      <c r="H8" s="311">
        <f t="shared" si="0"/>
        <v>0</v>
      </c>
      <c r="J8" s="308" t="s">
        <v>57</v>
      </c>
      <c r="K8" s="301" t="s">
        <v>60</v>
      </c>
      <c r="L8" s="313">
        <v>4750155</v>
      </c>
      <c r="N8" s="312">
        <v>337</v>
      </c>
      <c r="O8" s="314">
        <v>1.3</v>
      </c>
      <c r="P8" s="314">
        <v>1.17</v>
      </c>
      <c r="Q8" s="301"/>
      <c r="R8" s="301"/>
      <c r="U8" s="307"/>
      <c r="V8" s="301"/>
      <c r="W8" s="301"/>
      <c r="X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</row>
    <row r="9" spans="1:38" x14ac:dyDescent="0.3">
      <c r="A9" s="308" t="s">
        <v>0</v>
      </c>
      <c r="B9" s="309" t="s">
        <v>57</v>
      </c>
      <c r="C9" s="301" t="s">
        <v>70</v>
      </c>
      <c r="D9" s="297" t="s">
        <v>85</v>
      </c>
      <c r="E9" s="297" t="s">
        <v>73</v>
      </c>
      <c r="F9" s="310">
        <v>1.1000000000000001</v>
      </c>
      <c r="G9" s="363">
        <v>0</v>
      </c>
      <c r="H9" s="311">
        <f t="shared" si="0"/>
        <v>0</v>
      </c>
      <c r="J9" s="308" t="s">
        <v>57</v>
      </c>
      <c r="K9" s="301" t="s">
        <v>61</v>
      </c>
      <c r="L9" s="313">
        <v>7273500</v>
      </c>
      <c r="N9" s="312">
        <v>2</v>
      </c>
      <c r="O9" s="314">
        <v>0</v>
      </c>
      <c r="P9" s="314">
        <v>0</v>
      </c>
      <c r="Q9" s="301"/>
      <c r="R9" s="301"/>
      <c r="U9" s="307"/>
      <c r="V9" s="301"/>
      <c r="W9" s="301"/>
      <c r="X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</row>
    <row r="10" spans="1:38" x14ac:dyDescent="0.3">
      <c r="A10" s="308" t="s">
        <v>0</v>
      </c>
      <c r="B10" s="309" t="s">
        <v>57</v>
      </c>
      <c r="C10" s="301" t="s">
        <v>70</v>
      </c>
      <c r="D10" s="297" t="s">
        <v>85</v>
      </c>
      <c r="E10" s="297" t="s">
        <v>74</v>
      </c>
      <c r="F10" s="310">
        <v>0.77</v>
      </c>
      <c r="G10" s="363">
        <v>0</v>
      </c>
      <c r="H10" s="311">
        <f t="shared" si="0"/>
        <v>0</v>
      </c>
      <c r="J10" s="308" t="s">
        <v>57</v>
      </c>
      <c r="K10" s="301" t="s">
        <v>116</v>
      </c>
      <c r="L10" s="313">
        <f>G26</f>
        <v>2950825</v>
      </c>
      <c r="N10" s="312">
        <v>334</v>
      </c>
      <c r="O10" s="314">
        <v>0</v>
      </c>
      <c r="P10" s="314">
        <v>0</v>
      </c>
      <c r="Q10" s="301"/>
      <c r="R10" s="301"/>
      <c r="U10" s="307"/>
      <c r="V10" s="301"/>
      <c r="W10" s="301"/>
      <c r="X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</row>
    <row r="11" spans="1:38" x14ac:dyDescent="0.3">
      <c r="A11" s="308" t="s">
        <v>0</v>
      </c>
      <c r="B11" s="315" t="s">
        <v>69</v>
      </c>
      <c r="C11" s="301" t="s">
        <v>70</v>
      </c>
      <c r="D11" s="297" t="s">
        <v>77</v>
      </c>
      <c r="E11" s="297" t="s">
        <v>58</v>
      </c>
      <c r="F11" s="310">
        <v>1.1200000000000001</v>
      </c>
      <c r="G11" s="363">
        <v>5436471.2699999996</v>
      </c>
      <c r="H11" s="311">
        <f t="shared" si="0"/>
        <v>485.83300000000003</v>
      </c>
      <c r="J11" s="308" t="s">
        <v>57</v>
      </c>
      <c r="K11" s="301" t="s">
        <v>90</v>
      </c>
      <c r="L11" s="313">
        <v>0</v>
      </c>
      <c r="N11" s="312">
        <v>46</v>
      </c>
      <c r="O11" s="314">
        <v>0.77</v>
      </c>
      <c r="P11" s="314">
        <v>0</v>
      </c>
      <c r="Q11" s="301"/>
      <c r="R11" s="301"/>
      <c r="U11" s="307"/>
      <c r="V11" s="301"/>
      <c r="W11" s="301"/>
      <c r="X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</row>
    <row r="12" spans="1:38" x14ac:dyDescent="0.3">
      <c r="A12" s="308" t="s">
        <v>0</v>
      </c>
      <c r="B12" s="315" t="s">
        <v>69</v>
      </c>
      <c r="C12" s="301" t="s">
        <v>70</v>
      </c>
      <c r="D12" s="297" t="s">
        <v>78</v>
      </c>
      <c r="E12" s="297" t="s">
        <v>59</v>
      </c>
      <c r="F12" s="310">
        <v>3.44</v>
      </c>
      <c r="G12" s="363">
        <v>15660326.67</v>
      </c>
      <c r="H12" s="311">
        <f t="shared" si="0"/>
        <v>1399.4929999999999</v>
      </c>
      <c r="J12" s="308" t="s">
        <v>57</v>
      </c>
      <c r="K12" s="301" t="s">
        <v>73</v>
      </c>
      <c r="L12" s="313">
        <v>0</v>
      </c>
      <c r="N12" s="312">
        <v>238</v>
      </c>
      <c r="O12" s="314">
        <v>1.1000000000000001</v>
      </c>
      <c r="P12" s="314">
        <v>0</v>
      </c>
      <c r="Q12" s="301"/>
      <c r="R12" s="301"/>
      <c r="U12" s="307"/>
      <c r="V12" s="301"/>
      <c r="W12" s="301"/>
      <c r="X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</row>
    <row r="13" spans="1:38" x14ac:dyDescent="0.3">
      <c r="A13" s="308" t="s">
        <v>0</v>
      </c>
      <c r="B13" s="315" t="s">
        <v>69</v>
      </c>
      <c r="C13" s="301" t="s">
        <v>70</v>
      </c>
      <c r="D13" s="297" t="s">
        <v>79</v>
      </c>
      <c r="E13" s="297" t="s">
        <v>73</v>
      </c>
      <c r="F13" s="310">
        <v>3.33</v>
      </c>
      <c r="G13" s="363">
        <v>3382423.6799999997</v>
      </c>
      <c r="H13" s="311">
        <f t="shared" si="0"/>
        <v>302.27199999999999</v>
      </c>
      <c r="J13" s="308" t="s">
        <v>57</v>
      </c>
      <c r="K13" s="301" t="s">
        <v>74</v>
      </c>
      <c r="L13" s="313">
        <v>0</v>
      </c>
      <c r="N13" s="312">
        <v>36</v>
      </c>
      <c r="O13" s="314">
        <v>0.77</v>
      </c>
      <c r="P13" s="314">
        <v>0</v>
      </c>
      <c r="Q13" s="301"/>
      <c r="R13" s="301"/>
      <c r="U13" s="307"/>
      <c r="V13" s="301"/>
      <c r="W13" s="301"/>
      <c r="X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</row>
    <row r="14" spans="1:38" x14ac:dyDescent="0.3">
      <c r="A14" s="308" t="s">
        <v>0</v>
      </c>
      <c r="B14" s="315" t="s">
        <v>69</v>
      </c>
      <c r="C14" s="301" t="s">
        <v>70</v>
      </c>
      <c r="D14" s="297" t="s">
        <v>77</v>
      </c>
      <c r="E14" s="307" t="s">
        <v>90</v>
      </c>
      <c r="F14" s="310">
        <v>1.1200000000000001</v>
      </c>
      <c r="G14" s="363">
        <v>6378300</v>
      </c>
      <c r="H14" s="311">
        <f t="shared" si="0"/>
        <v>570</v>
      </c>
      <c r="J14" s="308" t="s">
        <v>57</v>
      </c>
      <c r="K14" s="301" t="s">
        <v>75</v>
      </c>
      <c r="L14" s="313">
        <f>G17</f>
        <v>10848000</v>
      </c>
      <c r="N14" s="312">
        <f>SUMPRODUCT(Distances!E13:E24,Distances!G13:G24)/SUM(Distances!E13:E24)</f>
        <v>37.275145170465059</v>
      </c>
      <c r="O14" s="314">
        <v>0</v>
      </c>
      <c r="P14" s="314">
        <v>0</v>
      </c>
      <c r="Q14" s="301"/>
      <c r="R14" s="301"/>
      <c r="U14" s="307"/>
      <c r="V14" s="301"/>
      <c r="W14" s="301"/>
      <c r="X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</row>
    <row r="15" spans="1:38" x14ac:dyDescent="0.3">
      <c r="A15" s="308" t="s">
        <v>0</v>
      </c>
      <c r="B15" s="315" t="s">
        <v>69</v>
      </c>
      <c r="C15" s="301" t="s">
        <v>70</v>
      </c>
      <c r="D15" s="297" t="s">
        <v>77</v>
      </c>
      <c r="E15" s="297" t="s">
        <v>74</v>
      </c>
      <c r="F15" s="310">
        <v>1.1200000000000001</v>
      </c>
      <c r="G15" s="363">
        <v>0</v>
      </c>
      <c r="H15" s="311">
        <f t="shared" si="0"/>
        <v>0</v>
      </c>
      <c r="J15" s="308" t="s">
        <v>69</v>
      </c>
      <c r="K15" s="301" t="s">
        <v>56</v>
      </c>
      <c r="L15" s="313">
        <v>50014969</v>
      </c>
      <c r="N15" s="312">
        <v>381.59447</v>
      </c>
      <c r="O15" s="314">
        <v>4.63</v>
      </c>
      <c r="P15" s="314">
        <v>0</v>
      </c>
      <c r="Q15" s="301"/>
      <c r="R15" s="301"/>
      <c r="U15" s="307"/>
      <c r="V15" s="301"/>
      <c r="W15" s="301"/>
      <c r="X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</row>
    <row r="16" spans="1:38" x14ac:dyDescent="0.3">
      <c r="A16" s="308" t="s">
        <v>0</v>
      </c>
      <c r="B16" s="315" t="s">
        <v>69</v>
      </c>
      <c r="C16" s="301" t="s">
        <v>70</v>
      </c>
      <c r="D16" s="307" t="s">
        <v>80</v>
      </c>
      <c r="E16" s="297" t="s">
        <v>75</v>
      </c>
      <c r="F16" s="310">
        <v>0.53</v>
      </c>
      <c r="G16" s="363">
        <v>21422795</v>
      </c>
      <c r="H16" s="311">
        <f t="shared" si="0"/>
        <v>1914.4588918677391</v>
      </c>
      <c r="J16" s="308" t="s">
        <v>69</v>
      </c>
      <c r="K16" s="301" t="s">
        <v>58</v>
      </c>
      <c r="L16" s="313">
        <v>10272000</v>
      </c>
      <c r="N16" s="312">
        <f>N6</f>
        <v>3</v>
      </c>
      <c r="O16" s="314">
        <v>1.1200000000000001</v>
      </c>
      <c r="P16" s="314">
        <v>0</v>
      </c>
      <c r="Q16" s="301"/>
      <c r="R16" s="301"/>
      <c r="U16" s="307"/>
      <c r="V16" s="301"/>
      <c r="W16" s="301"/>
      <c r="X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</row>
    <row r="17" spans="1:38" x14ac:dyDescent="0.3">
      <c r="A17" s="308" t="s">
        <v>0</v>
      </c>
      <c r="B17" s="309" t="s">
        <v>57</v>
      </c>
      <c r="C17" s="301" t="s">
        <v>70</v>
      </c>
      <c r="D17" s="297" t="s">
        <v>85</v>
      </c>
      <c r="E17" s="297" t="s">
        <v>75</v>
      </c>
      <c r="F17" s="310">
        <v>0</v>
      </c>
      <c r="G17" s="363">
        <v>10848000</v>
      </c>
      <c r="H17" s="311">
        <f t="shared" si="0"/>
        <v>969.43699731903484</v>
      </c>
      <c r="J17" s="308" t="s">
        <v>69</v>
      </c>
      <c r="K17" s="301" t="s">
        <v>90</v>
      </c>
      <c r="L17" s="313">
        <v>6378300</v>
      </c>
      <c r="N17" s="312">
        <v>46</v>
      </c>
      <c r="O17" s="314">
        <v>1.1200000000000001</v>
      </c>
      <c r="P17" s="314">
        <v>0</v>
      </c>
      <c r="Q17" s="301"/>
      <c r="R17" s="301"/>
      <c r="U17" s="307"/>
      <c r="V17" s="301"/>
      <c r="W17" s="301"/>
      <c r="X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</row>
    <row r="18" spans="1:38" x14ac:dyDescent="0.3">
      <c r="A18" s="308" t="s">
        <v>0</v>
      </c>
      <c r="B18" s="315" t="s">
        <v>69</v>
      </c>
      <c r="C18" s="301" t="s">
        <v>70</v>
      </c>
      <c r="D18" s="297" t="s">
        <v>78</v>
      </c>
      <c r="E18" s="297" t="s">
        <v>60</v>
      </c>
      <c r="F18" s="310">
        <v>3.44</v>
      </c>
      <c r="G18" s="363">
        <v>265538.7</v>
      </c>
      <c r="H18" s="311">
        <f t="shared" si="0"/>
        <v>23.730000000000004</v>
      </c>
      <c r="J18" s="308" t="s">
        <v>69</v>
      </c>
      <c r="K18" s="301" t="s">
        <v>73</v>
      </c>
      <c r="L18" s="313">
        <v>4688610</v>
      </c>
      <c r="N18" s="312">
        <v>238</v>
      </c>
      <c r="O18" s="314">
        <v>3.33</v>
      </c>
      <c r="P18" s="314">
        <v>0</v>
      </c>
      <c r="Q18" s="301"/>
      <c r="R18" s="301"/>
      <c r="U18" s="307"/>
      <c r="V18" s="301"/>
      <c r="W18" s="301"/>
      <c r="X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</row>
    <row r="19" spans="1:38" x14ac:dyDescent="0.3">
      <c r="A19" s="308" t="s">
        <v>0</v>
      </c>
      <c r="B19" s="309" t="s">
        <v>57</v>
      </c>
      <c r="C19" s="316" t="s">
        <v>71</v>
      </c>
      <c r="D19" s="297" t="s">
        <v>85</v>
      </c>
      <c r="E19" s="297" t="s">
        <v>60</v>
      </c>
      <c r="F19" s="310">
        <f>+F7*0.9</f>
        <v>1.1700000000000002</v>
      </c>
      <c r="G19" s="363">
        <v>3357000</v>
      </c>
      <c r="H19" s="311">
        <f t="shared" si="0"/>
        <v>300</v>
      </c>
      <c r="J19" s="308" t="s">
        <v>69</v>
      </c>
      <c r="K19" s="301" t="s">
        <v>59</v>
      </c>
      <c r="L19" s="313">
        <f>15660325-L21</f>
        <v>8386825</v>
      </c>
      <c r="N19" s="312">
        <v>242</v>
      </c>
      <c r="O19" s="314">
        <v>3.44</v>
      </c>
      <c r="P19" s="314">
        <v>0</v>
      </c>
      <c r="Q19" s="301"/>
      <c r="R19" s="301"/>
      <c r="U19" s="307"/>
      <c r="V19" s="301"/>
      <c r="W19" s="301"/>
      <c r="X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</row>
    <row r="20" spans="1:38" x14ac:dyDescent="0.3">
      <c r="A20" s="308" t="s">
        <v>0</v>
      </c>
      <c r="B20" s="315" t="s">
        <v>69</v>
      </c>
      <c r="C20" s="316" t="s">
        <v>71</v>
      </c>
      <c r="D20" s="307" t="s">
        <v>80</v>
      </c>
      <c r="E20" s="297" t="s">
        <v>75</v>
      </c>
      <c r="F20" s="310">
        <v>0.48</v>
      </c>
      <c r="G20" s="363">
        <v>4635629</v>
      </c>
      <c r="H20" s="311">
        <f t="shared" si="0"/>
        <v>414.26532618409294</v>
      </c>
      <c r="J20" s="308" t="s">
        <v>69</v>
      </c>
      <c r="K20" s="301" t="s">
        <v>74</v>
      </c>
      <c r="L20" s="313">
        <v>1119000</v>
      </c>
      <c r="N20" s="312">
        <v>36</v>
      </c>
      <c r="O20" s="314">
        <v>1.1200000000000001</v>
      </c>
      <c r="P20" s="314">
        <v>0</v>
      </c>
      <c r="Q20" s="301"/>
      <c r="R20" s="301"/>
      <c r="U20" s="307"/>
      <c r="V20" s="301"/>
      <c r="W20" s="301"/>
      <c r="X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</row>
    <row r="21" spans="1:38" x14ac:dyDescent="0.3">
      <c r="A21" s="308" t="s">
        <v>0</v>
      </c>
      <c r="B21" s="315" t="s">
        <v>69</v>
      </c>
      <c r="C21" s="316" t="s">
        <v>71</v>
      </c>
      <c r="D21" s="307" t="s">
        <v>80</v>
      </c>
      <c r="E21" s="297" t="s">
        <v>75</v>
      </c>
      <c r="F21" s="310">
        <v>0.48</v>
      </c>
      <c r="G21" s="363">
        <v>2378663</v>
      </c>
      <c r="H21" s="311">
        <f t="shared" si="0"/>
        <v>212.57042001787312</v>
      </c>
      <c r="J21" s="308" t="s">
        <v>69</v>
      </c>
      <c r="K21" s="301" t="s">
        <v>60</v>
      </c>
      <c r="L21" s="313">
        <v>7273500</v>
      </c>
      <c r="N21" s="312">
        <v>337</v>
      </c>
      <c r="O21" s="314">
        <v>3.44</v>
      </c>
      <c r="P21" s="314">
        <v>2.99</v>
      </c>
      <c r="Q21" s="301"/>
      <c r="R21" s="301"/>
      <c r="U21" s="307"/>
      <c r="V21" s="301"/>
      <c r="W21" s="301"/>
      <c r="X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</row>
    <row r="22" spans="1:38" x14ac:dyDescent="0.3">
      <c r="A22" s="308" t="s">
        <v>0</v>
      </c>
      <c r="B22" s="315" t="s">
        <v>69</v>
      </c>
      <c r="C22" s="316" t="s">
        <v>71</v>
      </c>
      <c r="D22" s="297" t="s">
        <v>78</v>
      </c>
      <c r="E22" s="297" t="s">
        <v>60</v>
      </c>
      <c r="F22" s="310">
        <v>2.99</v>
      </c>
      <c r="G22" s="363">
        <v>6468513.7799999993</v>
      </c>
      <c r="H22" s="311">
        <f t="shared" si="0"/>
        <v>578.06200000000001</v>
      </c>
      <c r="J22" s="308" t="s">
        <v>69</v>
      </c>
      <c r="K22" s="301" t="s">
        <v>61</v>
      </c>
      <c r="L22" s="313">
        <v>7273500</v>
      </c>
      <c r="N22" s="312">
        <v>2</v>
      </c>
      <c r="O22" s="314">
        <v>0.4</v>
      </c>
      <c r="P22" s="314">
        <v>0</v>
      </c>
      <c r="Q22" s="301"/>
      <c r="R22" s="301"/>
      <c r="U22" s="307"/>
      <c r="V22" s="301"/>
      <c r="W22" s="301"/>
      <c r="X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</row>
    <row r="23" spans="1:38" x14ac:dyDescent="0.3">
      <c r="A23" s="308" t="s">
        <v>0</v>
      </c>
      <c r="B23" s="309" t="s">
        <v>57</v>
      </c>
      <c r="C23" s="317" t="s">
        <v>72</v>
      </c>
      <c r="D23" s="297" t="s">
        <v>81</v>
      </c>
      <c r="E23" s="297" t="s">
        <v>60</v>
      </c>
      <c r="F23" s="310">
        <v>0.14000000000000001</v>
      </c>
      <c r="G23" s="363">
        <v>0</v>
      </c>
      <c r="H23" s="311">
        <f t="shared" si="0"/>
        <v>0</v>
      </c>
      <c r="J23" s="308" t="s">
        <v>69</v>
      </c>
      <c r="K23" s="301" t="s">
        <v>116</v>
      </c>
      <c r="L23" s="313">
        <f>G25</f>
        <v>2950825</v>
      </c>
      <c r="N23" s="312">
        <v>334</v>
      </c>
      <c r="O23" s="314">
        <v>0.4</v>
      </c>
      <c r="P23" s="314">
        <v>0</v>
      </c>
      <c r="Q23" s="301"/>
      <c r="R23" s="301"/>
      <c r="U23" s="307"/>
      <c r="V23" s="301"/>
      <c r="W23" s="301"/>
      <c r="X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</row>
    <row r="24" spans="1:38" x14ac:dyDescent="0.3">
      <c r="A24" s="308" t="s">
        <v>0</v>
      </c>
      <c r="B24" s="309" t="s">
        <v>57</v>
      </c>
      <c r="C24" s="317" t="s">
        <v>72</v>
      </c>
      <c r="D24" s="297" t="s">
        <v>81</v>
      </c>
      <c r="E24" s="297" t="s">
        <v>60</v>
      </c>
      <c r="F24" s="310">
        <v>0.14000000000000001</v>
      </c>
      <c r="G24" s="363">
        <v>0</v>
      </c>
      <c r="H24" s="311">
        <f t="shared" si="0"/>
        <v>0</v>
      </c>
      <c r="J24" s="308" t="s">
        <v>69</v>
      </c>
      <c r="K24" s="301" t="s">
        <v>91</v>
      </c>
      <c r="L24" s="313">
        <v>4635629</v>
      </c>
      <c r="N24" s="312">
        <v>24</v>
      </c>
      <c r="O24" s="314">
        <v>0.53</v>
      </c>
      <c r="P24" s="314">
        <v>0.48</v>
      </c>
      <c r="Q24" s="311">
        <v>0</v>
      </c>
      <c r="R24" s="311">
        <f>G20</f>
        <v>4635629</v>
      </c>
      <c r="T24" s="318"/>
      <c r="U24" s="307"/>
      <c r="V24" s="301"/>
      <c r="W24" s="301"/>
      <c r="X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</row>
    <row r="25" spans="1:38" x14ac:dyDescent="0.3">
      <c r="A25" s="308" t="s">
        <v>0</v>
      </c>
      <c r="B25" s="315" t="s">
        <v>69</v>
      </c>
      <c r="C25" s="301" t="s">
        <v>70</v>
      </c>
      <c r="D25" s="297" t="s">
        <v>82</v>
      </c>
      <c r="E25" s="297" t="s">
        <v>116</v>
      </c>
      <c r="F25" s="310">
        <v>0.4</v>
      </c>
      <c r="G25" s="363">
        <v>2950825</v>
      </c>
      <c r="H25" s="311">
        <f t="shared" si="0"/>
        <v>263.70196604110811</v>
      </c>
      <c r="J25" s="308" t="s">
        <v>69</v>
      </c>
      <c r="K25" s="301" t="s">
        <v>92</v>
      </c>
      <c r="L25" s="313">
        <v>0</v>
      </c>
      <c r="N25" s="312">
        <v>78</v>
      </c>
      <c r="O25" s="314">
        <v>0.53</v>
      </c>
      <c r="P25" s="314">
        <v>0</v>
      </c>
      <c r="Q25" s="311">
        <v>0</v>
      </c>
      <c r="R25" s="311">
        <v>0</v>
      </c>
      <c r="T25" s="318"/>
      <c r="U25" s="307"/>
      <c r="V25" s="301"/>
      <c r="W25" s="301"/>
      <c r="X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</row>
    <row r="26" spans="1:38" x14ac:dyDescent="0.3">
      <c r="A26" s="308" t="s">
        <v>0</v>
      </c>
      <c r="B26" s="309" t="s">
        <v>57</v>
      </c>
      <c r="C26" s="301" t="s">
        <v>70</v>
      </c>
      <c r="D26" s="297" t="s">
        <v>85</v>
      </c>
      <c r="E26" s="297" t="s">
        <v>116</v>
      </c>
      <c r="F26" s="310">
        <v>0</v>
      </c>
      <c r="G26" s="363">
        <v>2950825</v>
      </c>
      <c r="H26" s="311">
        <f t="shared" si="0"/>
        <v>263.70196604110811</v>
      </c>
      <c r="J26" s="308" t="s">
        <v>69</v>
      </c>
      <c r="K26" s="301" t="s">
        <v>93</v>
      </c>
      <c r="L26" s="313">
        <v>0</v>
      </c>
      <c r="N26" s="312">
        <v>133</v>
      </c>
      <c r="O26" s="314">
        <v>0.53</v>
      </c>
      <c r="P26" s="314">
        <v>0</v>
      </c>
      <c r="Q26" s="311">
        <v>0</v>
      </c>
      <c r="R26" s="311">
        <v>0</v>
      </c>
      <c r="T26" s="318"/>
      <c r="U26" s="307"/>
      <c r="V26" s="301"/>
      <c r="W26" s="301"/>
      <c r="X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</row>
    <row r="27" spans="1:38" x14ac:dyDescent="0.3">
      <c r="A27" s="308" t="s">
        <v>0</v>
      </c>
      <c r="B27" s="309" t="s">
        <v>57</v>
      </c>
      <c r="C27" s="301" t="s">
        <v>70</v>
      </c>
      <c r="D27" s="297" t="s">
        <v>85</v>
      </c>
      <c r="E27" s="297" t="s">
        <v>61</v>
      </c>
      <c r="F27" s="310">
        <v>0</v>
      </c>
      <c r="G27" s="363">
        <v>5749393</v>
      </c>
      <c r="H27" s="311">
        <f t="shared" si="0"/>
        <v>513.79740840035743</v>
      </c>
      <c r="J27" s="308" t="s">
        <v>69</v>
      </c>
      <c r="K27" s="301" t="s">
        <v>94</v>
      </c>
      <c r="L27" s="313">
        <v>0</v>
      </c>
      <c r="N27" s="312">
        <v>185</v>
      </c>
      <c r="O27" s="314">
        <v>0.53</v>
      </c>
      <c r="P27" s="314">
        <v>0</v>
      </c>
      <c r="Q27" s="311">
        <v>0</v>
      </c>
      <c r="R27" s="311">
        <v>0</v>
      </c>
      <c r="T27" s="319"/>
      <c r="U27" s="307"/>
      <c r="V27" s="301"/>
      <c r="W27" s="301"/>
      <c r="X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</row>
    <row r="28" spans="1:38" x14ac:dyDescent="0.3">
      <c r="A28" s="308" t="s">
        <v>0</v>
      </c>
      <c r="B28" s="315" t="s">
        <v>69</v>
      </c>
      <c r="C28" s="301" t="s">
        <v>70</v>
      </c>
      <c r="D28" s="297" t="s">
        <v>82</v>
      </c>
      <c r="E28" s="297" t="s">
        <v>61</v>
      </c>
      <c r="F28" s="310">
        <v>0.4</v>
      </c>
      <c r="G28" s="363">
        <v>5749393</v>
      </c>
      <c r="H28" s="311">
        <f t="shared" si="0"/>
        <v>513.79740840035743</v>
      </c>
      <c r="J28" s="308" t="s">
        <v>69</v>
      </c>
      <c r="K28" s="301" t="s">
        <v>95</v>
      </c>
      <c r="L28" s="313">
        <v>2378658</v>
      </c>
      <c r="N28" s="312">
        <v>202</v>
      </c>
      <c r="O28" s="314">
        <v>0.53</v>
      </c>
      <c r="P28" s="314">
        <v>0.48</v>
      </c>
      <c r="Q28" s="311">
        <v>0</v>
      </c>
      <c r="R28" s="311">
        <f>G21</f>
        <v>2378663</v>
      </c>
      <c r="T28" s="319"/>
      <c r="U28" s="307"/>
      <c r="V28" s="301"/>
      <c r="W28" s="301"/>
      <c r="X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</row>
    <row r="29" spans="1:38" x14ac:dyDescent="0.3">
      <c r="A29" s="308" t="s">
        <v>36</v>
      </c>
      <c r="B29" s="309" t="s">
        <v>57</v>
      </c>
      <c r="C29" s="301" t="s">
        <v>70</v>
      </c>
      <c r="D29" s="297" t="s">
        <v>85</v>
      </c>
      <c r="E29" s="297" t="s">
        <v>58</v>
      </c>
      <c r="F29" s="310">
        <v>0.77</v>
      </c>
      <c r="G29" s="363">
        <v>57643785.539999999</v>
      </c>
      <c r="H29" s="311">
        <f t="shared" si="0"/>
        <v>5151.366</v>
      </c>
      <c r="J29" s="308" t="s">
        <v>69</v>
      </c>
      <c r="K29" s="301" t="s">
        <v>96</v>
      </c>
      <c r="L29" s="313">
        <v>0</v>
      </c>
      <c r="N29" s="312">
        <v>222</v>
      </c>
      <c r="O29" s="314">
        <v>0.53</v>
      </c>
      <c r="P29" s="314">
        <v>0</v>
      </c>
      <c r="Q29" s="311">
        <v>0</v>
      </c>
      <c r="R29" s="311">
        <v>0</v>
      </c>
      <c r="U29" s="307"/>
      <c r="V29" s="301"/>
      <c r="W29" s="301"/>
      <c r="X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</row>
    <row r="30" spans="1:38" x14ac:dyDescent="0.3">
      <c r="A30" s="308" t="s">
        <v>36</v>
      </c>
      <c r="B30" s="309" t="s">
        <v>57</v>
      </c>
      <c r="C30" s="301" t="s">
        <v>70</v>
      </c>
      <c r="D30" s="297" t="s">
        <v>85</v>
      </c>
      <c r="E30" s="297" t="s">
        <v>56</v>
      </c>
      <c r="F30" s="310">
        <v>1.3</v>
      </c>
      <c r="G30" s="363">
        <v>0</v>
      </c>
      <c r="H30" s="311">
        <f t="shared" si="0"/>
        <v>0</v>
      </c>
      <c r="J30" s="308" t="s">
        <v>69</v>
      </c>
      <c r="K30" s="301" t="s">
        <v>97</v>
      </c>
      <c r="L30" s="313">
        <v>21422795</v>
      </c>
      <c r="N30" s="312">
        <v>0</v>
      </c>
      <c r="O30" s="314">
        <v>0.53</v>
      </c>
      <c r="P30" s="314">
        <v>0</v>
      </c>
      <c r="Q30" s="311">
        <f>G16</f>
        <v>21422795</v>
      </c>
      <c r="R30" s="311">
        <v>0</v>
      </c>
      <c r="U30" s="307"/>
      <c r="V30" s="301"/>
      <c r="W30" s="301"/>
      <c r="X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</row>
    <row r="31" spans="1:38" x14ac:dyDescent="0.3">
      <c r="A31" s="308" t="s">
        <v>36</v>
      </c>
      <c r="B31" s="315" t="s">
        <v>69</v>
      </c>
      <c r="C31" s="301" t="s">
        <v>70</v>
      </c>
      <c r="D31" s="297" t="s">
        <v>83</v>
      </c>
      <c r="E31" s="297" t="s">
        <v>56</v>
      </c>
      <c r="F31" s="310">
        <v>4.63</v>
      </c>
      <c r="G31" s="363">
        <v>48558893.100000009</v>
      </c>
      <c r="H31" s="311">
        <f t="shared" si="0"/>
        <v>4339.4900000000007</v>
      </c>
      <c r="J31" s="308" t="s">
        <v>69</v>
      </c>
      <c r="K31" s="301" t="s">
        <v>98</v>
      </c>
      <c r="L31" s="313">
        <v>1111503</v>
      </c>
      <c r="N31" s="312">
        <v>71.84778</v>
      </c>
      <c r="O31" s="314">
        <v>0.53</v>
      </c>
      <c r="P31" s="314">
        <v>0</v>
      </c>
      <c r="Q31" s="311">
        <v>1111503</v>
      </c>
      <c r="R31" s="311">
        <v>0</v>
      </c>
      <c r="U31" s="307"/>
      <c r="V31" s="301"/>
      <c r="W31" s="301"/>
      <c r="X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</row>
    <row r="32" spans="1:38" x14ac:dyDescent="0.3">
      <c r="A32" s="308" t="s">
        <v>36</v>
      </c>
      <c r="B32" s="315" t="s">
        <v>69</v>
      </c>
      <c r="C32" s="301" t="s">
        <v>70</v>
      </c>
      <c r="D32" s="307" t="s">
        <v>80</v>
      </c>
      <c r="E32" s="297" t="s">
        <v>75</v>
      </c>
      <c r="F32" s="310">
        <v>0.53</v>
      </c>
      <c r="G32" s="363">
        <v>3562672</v>
      </c>
      <c r="H32" s="311">
        <f t="shared" si="0"/>
        <v>318.37998212689899</v>
      </c>
      <c r="J32" s="308" t="s">
        <v>69</v>
      </c>
      <c r="K32" s="301" t="s">
        <v>99</v>
      </c>
      <c r="L32" s="313">
        <v>166731</v>
      </c>
      <c r="N32" s="312">
        <v>137.48994999999999</v>
      </c>
      <c r="O32" s="314">
        <v>0.53</v>
      </c>
      <c r="P32" s="314">
        <v>0</v>
      </c>
      <c r="Q32" s="311">
        <v>166731</v>
      </c>
      <c r="R32" s="311">
        <v>0</v>
      </c>
      <c r="U32" s="307"/>
      <c r="V32" s="301"/>
      <c r="W32" s="301"/>
      <c r="X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</row>
    <row r="33" spans="1:38" x14ac:dyDescent="0.3">
      <c r="A33" s="308" t="s">
        <v>36</v>
      </c>
      <c r="B33" s="315" t="s">
        <v>69</v>
      </c>
      <c r="C33" s="301" t="s">
        <v>70</v>
      </c>
      <c r="D33" s="307" t="s">
        <v>84</v>
      </c>
      <c r="E33" s="297" t="s">
        <v>76</v>
      </c>
      <c r="F33" s="310">
        <v>4.2</v>
      </c>
      <c r="G33" s="363">
        <v>471871</v>
      </c>
      <c r="H33" s="311">
        <f t="shared" si="0"/>
        <v>42.168990169794462</v>
      </c>
      <c r="J33" s="308" t="s">
        <v>69</v>
      </c>
      <c r="K33" s="301" t="s">
        <v>100</v>
      </c>
      <c r="L33" s="313">
        <v>221439</v>
      </c>
      <c r="N33" s="312">
        <v>180.23273</v>
      </c>
      <c r="O33" s="314">
        <v>0.53</v>
      </c>
      <c r="P33" s="314">
        <v>0</v>
      </c>
      <c r="Q33" s="311">
        <v>221439</v>
      </c>
      <c r="R33" s="311">
        <v>0</v>
      </c>
      <c r="U33" s="307"/>
      <c r="V33" s="301"/>
      <c r="W33" s="301"/>
      <c r="X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</row>
    <row r="34" spans="1:38" ht="15" thickBot="1" x14ac:dyDescent="0.35">
      <c r="A34" s="308" t="s">
        <v>36</v>
      </c>
      <c r="B34" s="309" t="s">
        <v>57</v>
      </c>
      <c r="C34" s="316" t="s">
        <v>71</v>
      </c>
      <c r="D34" s="297" t="s">
        <v>85</v>
      </c>
      <c r="E34" s="297" t="s">
        <v>56</v>
      </c>
      <c r="F34" s="310">
        <v>0.62</v>
      </c>
      <c r="G34" s="364">
        <v>531334.7699999999</v>
      </c>
      <c r="H34" s="311">
        <f t="shared" si="0"/>
        <v>47.48299999999999</v>
      </c>
      <c r="J34" s="308" t="s">
        <v>69</v>
      </c>
      <c r="K34" s="301" t="s">
        <v>101</v>
      </c>
      <c r="L34" s="313">
        <v>1952543</v>
      </c>
      <c r="N34" s="312">
        <v>210.69001</v>
      </c>
      <c r="O34" s="314">
        <v>0.53</v>
      </c>
      <c r="P34" s="314">
        <v>0</v>
      </c>
      <c r="Q34" s="311">
        <v>1952543</v>
      </c>
      <c r="R34" s="311">
        <v>0</v>
      </c>
      <c r="V34" s="301"/>
      <c r="W34" s="301"/>
      <c r="X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</row>
    <row r="35" spans="1:38" x14ac:dyDescent="0.3">
      <c r="G35" s="320">
        <f>SUM(G5:G34)</f>
        <v>243675032.97000006</v>
      </c>
      <c r="J35" s="308" t="s">
        <v>69</v>
      </c>
      <c r="K35" s="301" t="s">
        <v>102</v>
      </c>
      <c r="L35" s="313">
        <v>110456</v>
      </c>
      <c r="N35" s="312">
        <v>231.34958</v>
      </c>
      <c r="O35" s="314">
        <v>0.53</v>
      </c>
      <c r="P35" s="314">
        <v>0</v>
      </c>
      <c r="Q35" s="311">
        <v>110456</v>
      </c>
      <c r="R35" s="311">
        <v>0</v>
      </c>
      <c r="V35" s="301"/>
      <c r="W35" s="301"/>
      <c r="X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</row>
    <row r="36" spans="1:38" x14ac:dyDescent="0.3">
      <c r="F36" s="321"/>
      <c r="H36" s="321"/>
      <c r="J36" s="308" t="s">
        <v>69</v>
      </c>
      <c r="K36" s="301" t="s">
        <v>103</v>
      </c>
      <c r="L36" s="313">
        <v>55223</v>
      </c>
      <c r="N36" s="312">
        <v>268.73602</v>
      </c>
      <c r="O36" s="314">
        <v>4.2</v>
      </c>
      <c r="P36" s="314">
        <v>0</v>
      </c>
      <c r="Q36" s="311">
        <v>55223</v>
      </c>
      <c r="R36" s="311">
        <v>0</v>
      </c>
      <c r="V36" s="301"/>
      <c r="W36" s="301"/>
      <c r="X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</row>
    <row r="37" spans="1:38" x14ac:dyDescent="0.3">
      <c r="G37" s="322"/>
      <c r="H37" s="323"/>
      <c r="J37" s="308" t="s">
        <v>69</v>
      </c>
      <c r="K37" s="301" t="s">
        <v>104</v>
      </c>
      <c r="L37" s="313">
        <v>22022</v>
      </c>
      <c r="N37" s="312">
        <v>300.39652000000001</v>
      </c>
      <c r="O37" s="314">
        <v>4.2</v>
      </c>
      <c r="P37" s="314">
        <v>0</v>
      </c>
      <c r="Q37" s="311">
        <v>22022</v>
      </c>
      <c r="R37" s="311">
        <v>0</v>
      </c>
      <c r="V37" s="301"/>
      <c r="W37" s="301"/>
      <c r="X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</row>
    <row r="38" spans="1:38" x14ac:dyDescent="0.3">
      <c r="G38" s="323"/>
      <c r="J38" s="308" t="s">
        <v>69</v>
      </c>
      <c r="K38" s="301" t="s">
        <v>105</v>
      </c>
      <c r="L38" s="313">
        <v>110087</v>
      </c>
      <c r="N38" s="312">
        <v>320.51218999999998</v>
      </c>
      <c r="O38" s="314">
        <v>4.2</v>
      </c>
      <c r="P38" s="314">
        <v>0</v>
      </c>
      <c r="Q38" s="311">
        <v>110087</v>
      </c>
      <c r="R38" s="311">
        <v>0</v>
      </c>
      <c r="V38" s="301"/>
      <c r="W38" s="301"/>
      <c r="X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</row>
    <row r="39" spans="1:38" ht="15" thickBot="1" x14ac:dyDescent="0.35">
      <c r="J39" s="308" t="s">
        <v>69</v>
      </c>
      <c r="K39" s="301" t="s">
        <v>106</v>
      </c>
      <c r="L39" s="325">
        <v>284539</v>
      </c>
      <c r="N39" s="324">
        <v>361.42469</v>
      </c>
      <c r="O39" s="314">
        <v>4.2</v>
      </c>
      <c r="P39" s="314">
        <v>0</v>
      </c>
      <c r="Q39" s="311">
        <v>284539</v>
      </c>
      <c r="R39" s="311">
        <v>0</v>
      </c>
      <c r="V39" s="301"/>
      <c r="W39" s="301"/>
      <c r="X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</row>
    <row r="40" spans="1:38" x14ac:dyDescent="0.3">
      <c r="L40" s="320"/>
      <c r="V40" s="301"/>
      <c r="W40" s="301"/>
      <c r="X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</row>
    <row r="41" spans="1:38" x14ac:dyDescent="0.3">
      <c r="A41" s="301"/>
      <c r="B41" s="301"/>
      <c r="C41" s="301"/>
      <c r="E41" s="301"/>
      <c r="F41" s="301"/>
      <c r="G41" s="301"/>
      <c r="H41" s="301"/>
      <c r="I41" s="301"/>
      <c r="J41" s="301"/>
      <c r="K41" s="301"/>
      <c r="L41" s="326"/>
      <c r="N41" s="326"/>
      <c r="O41" s="326"/>
      <c r="P41" s="326"/>
      <c r="Q41" s="326"/>
      <c r="R41" s="326"/>
      <c r="S41" s="301"/>
      <c r="T41" s="301"/>
      <c r="U41" s="301"/>
      <c r="V41" s="301"/>
      <c r="W41" s="301"/>
      <c r="X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</row>
    <row r="42" spans="1:38" x14ac:dyDescent="0.3">
      <c r="A42" s="301"/>
      <c r="B42" s="301"/>
      <c r="C42" s="301"/>
      <c r="E42" s="301"/>
      <c r="F42" s="301"/>
      <c r="G42" s="311"/>
      <c r="H42" s="301"/>
      <c r="I42" s="301"/>
      <c r="J42" s="301"/>
      <c r="K42" s="301"/>
      <c r="L42" s="31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</row>
    <row r="43" spans="1:38" x14ac:dyDescent="0.3">
      <c r="A43" s="301"/>
      <c r="B43" s="301"/>
      <c r="C43" s="301"/>
      <c r="E43" s="301"/>
      <c r="F43" s="301"/>
      <c r="G43" s="311"/>
      <c r="H43" s="301"/>
      <c r="I43" s="301"/>
      <c r="J43" s="301"/>
      <c r="K43" s="301"/>
      <c r="L43" s="311"/>
      <c r="N43" s="301"/>
      <c r="O43" s="301"/>
      <c r="P43" s="301"/>
      <c r="Q43" s="311"/>
      <c r="R43" s="311"/>
      <c r="S43" s="301"/>
      <c r="T43" s="301"/>
      <c r="U43" s="301"/>
      <c r="V43" s="301"/>
      <c r="W43" s="301"/>
      <c r="X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</row>
    <row r="44" spans="1:38" x14ac:dyDescent="0.3">
      <c r="A44" s="301"/>
      <c r="B44" s="301"/>
      <c r="C44" s="301"/>
      <c r="E44" s="301"/>
      <c r="F44" s="301"/>
      <c r="G44" s="301"/>
      <c r="H44" s="301"/>
      <c r="I44" s="301"/>
      <c r="J44" s="301"/>
      <c r="K44" s="301"/>
      <c r="L44" s="301"/>
      <c r="N44" s="301"/>
      <c r="O44" s="301"/>
      <c r="P44" s="301"/>
      <c r="Q44" s="311"/>
      <c r="R44" s="311"/>
      <c r="S44" s="301"/>
      <c r="T44" s="301"/>
      <c r="U44" s="301"/>
      <c r="V44" s="301"/>
      <c r="W44" s="301"/>
      <c r="X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</row>
    <row r="45" spans="1:38" x14ac:dyDescent="0.3">
      <c r="A45" s="301"/>
      <c r="B45" s="301"/>
      <c r="C45" s="301"/>
      <c r="E45" s="301"/>
      <c r="F45" s="301"/>
      <c r="G45" s="301"/>
      <c r="H45" s="301"/>
      <c r="I45" s="301"/>
      <c r="J45" s="301"/>
      <c r="K45" s="301"/>
      <c r="L45" s="301"/>
      <c r="N45" s="301"/>
      <c r="O45" s="301"/>
      <c r="P45" s="301"/>
      <c r="Q45" s="311"/>
      <c r="R45" s="311"/>
      <c r="S45" s="301"/>
      <c r="T45" s="301"/>
      <c r="U45" s="301"/>
      <c r="V45" s="301"/>
      <c r="W45" s="301"/>
      <c r="X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</row>
    <row r="46" spans="1:38" x14ac:dyDescent="0.3">
      <c r="A46" s="301"/>
      <c r="B46" s="301"/>
      <c r="C46" s="301"/>
      <c r="E46" s="301"/>
      <c r="F46" s="301"/>
      <c r="G46" s="301"/>
      <c r="H46" s="301"/>
      <c r="I46" s="301"/>
      <c r="J46" s="301"/>
      <c r="K46" s="301"/>
      <c r="L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</row>
    <row r="47" spans="1:38" x14ac:dyDescent="0.3">
      <c r="A47" s="301"/>
      <c r="B47" s="301"/>
      <c r="C47" s="301"/>
      <c r="E47" s="301"/>
      <c r="F47" s="301"/>
      <c r="G47" s="301"/>
      <c r="H47" s="301"/>
      <c r="I47" s="301"/>
      <c r="J47" s="301"/>
      <c r="K47" s="301"/>
      <c r="L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</row>
    <row r="48" spans="1:38" x14ac:dyDescent="0.3">
      <c r="A48" s="301"/>
      <c r="B48" s="301"/>
      <c r="C48" s="301"/>
      <c r="E48" s="301"/>
      <c r="F48" s="301"/>
      <c r="G48" s="301"/>
      <c r="H48" s="301"/>
      <c r="I48" s="301"/>
      <c r="J48" s="301"/>
      <c r="K48" s="301"/>
      <c r="L48" s="301"/>
      <c r="N48" s="301"/>
      <c r="O48" s="301"/>
      <c r="P48" s="301"/>
      <c r="Q48" s="327"/>
      <c r="R48" s="327"/>
      <c r="S48" s="301"/>
      <c r="T48" s="301"/>
      <c r="U48" s="301"/>
      <c r="V48" s="301"/>
      <c r="W48" s="301"/>
      <c r="X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</row>
    <row r="49" spans="1:38" x14ac:dyDescent="0.3">
      <c r="A49" s="301"/>
      <c r="B49" s="301"/>
      <c r="C49" s="301"/>
      <c r="E49" s="301"/>
      <c r="F49" s="301"/>
      <c r="G49" s="301"/>
      <c r="H49" s="301"/>
      <c r="I49" s="301"/>
      <c r="J49" s="301"/>
      <c r="K49" s="301"/>
      <c r="L49" s="301"/>
      <c r="N49" s="301"/>
      <c r="O49" s="301"/>
      <c r="P49" s="301"/>
      <c r="Q49" s="327"/>
      <c r="R49" s="327"/>
      <c r="S49" s="301"/>
      <c r="T49" s="301"/>
      <c r="U49" s="301"/>
      <c r="V49" s="301"/>
      <c r="W49" s="301"/>
      <c r="X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</row>
    <row r="50" spans="1:38" x14ac:dyDescent="0.3">
      <c r="A50" s="301"/>
      <c r="B50" s="301"/>
      <c r="C50" s="301"/>
      <c r="E50" s="301"/>
      <c r="F50" s="301"/>
      <c r="G50" s="301"/>
      <c r="H50" s="301"/>
      <c r="I50" s="301"/>
      <c r="J50" s="301"/>
      <c r="K50" s="301"/>
      <c r="L50" s="301"/>
      <c r="N50" s="301"/>
      <c r="O50" s="301"/>
      <c r="P50" s="301"/>
      <c r="Q50" s="327"/>
      <c r="R50" s="327"/>
      <c r="S50" s="301"/>
      <c r="T50" s="301"/>
      <c r="U50" s="301"/>
      <c r="V50" s="301"/>
      <c r="W50" s="301"/>
      <c r="X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</row>
    <row r="51" spans="1:38" x14ac:dyDescent="0.3">
      <c r="A51" s="301"/>
      <c r="B51" s="301"/>
      <c r="C51" s="301"/>
      <c r="E51" s="301"/>
      <c r="F51" s="301"/>
      <c r="G51" s="301"/>
      <c r="H51" s="301"/>
      <c r="I51" s="301"/>
      <c r="J51" s="301"/>
      <c r="K51" s="301"/>
      <c r="L51" s="301"/>
      <c r="N51" s="301"/>
      <c r="O51" s="301"/>
      <c r="P51" s="301"/>
      <c r="Q51" s="317"/>
      <c r="R51" s="317"/>
      <c r="S51" s="301"/>
      <c r="T51" s="301"/>
      <c r="U51" s="301"/>
      <c r="V51" s="301"/>
      <c r="W51" s="301"/>
      <c r="X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</row>
    <row r="52" spans="1:38" x14ac:dyDescent="0.3">
      <c r="A52" s="301"/>
      <c r="B52" s="301"/>
      <c r="C52" s="301"/>
      <c r="E52" s="301"/>
      <c r="F52" s="301"/>
      <c r="G52" s="301"/>
      <c r="H52" s="301"/>
      <c r="I52" s="301"/>
      <c r="J52" s="301"/>
      <c r="K52" s="301"/>
      <c r="L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</row>
    <row r="53" spans="1:38" x14ac:dyDescent="0.3">
      <c r="A53" s="301"/>
      <c r="B53" s="301"/>
      <c r="C53" s="301"/>
      <c r="E53" s="301"/>
      <c r="F53" s="301"/>
      <c r="G53" s="301"/>
      <c r="H53" s="301"/>
      <c r="I53" s="301"/>
      <c r="J53" s="301"/>
      <c r="K53" s="301"/>
      <c r="L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</row>
    <row r="54" spans="1:38" x14ac:dyDescent="0.3">
      <c r="A54" s="301"/>
      <c r="B54" s="301"/>
      <c r="C54" s="301"/>
      <c r="E54" s="301"/>
      <c r="F54" s="301"/>
      <c r="G54" s="301"/>
      <c r="H54" s="301"/>
      <c r="I54" s="301"/>
      <c r="J54" s="301"/>
      <c r="K54" s="301"/>
      <c r="L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</row>
    <row r="55" spans="1:38" x14ac:dyDescent="0.3">
      <c r="A55" s="301"/>
      <c r="B55" s="301"/>
      <c r="C55" s="301"/>
      <c r="E55" s="301"/>
      <c r="F55" s="301"/>
      <c r="G55" s="301"/>
      <c r="H55" s="301"/>
      <c r="I55" s="301"/>
      <c r="J55" s="301"/>
      <c r="K55" s="301"/>
      <c r="L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</row>
    <row r="56" spans="1:38" x14ac:dyDescent="0.3">
      <c r="A56" s="301"/>
      <c r="B56" s="301"/>
      <c r="C56" s="301"/>
      <c r="E56" s="301"/>
      <c r="F56" s="301"/>
      <c r="G56" s="301"/>
      <c r="H56" s="301"/>
      <c r="I56" s="301"/>
      <c r="J56" s="301"/>
      <c r="K56" s="301"/>
      <c r="L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</row>
    <row r="57" spans="1:38" x14ac:dyDescent="0.3">
      <c r="A57" s="301"/>
      <c r="B57" s="301"/>
      <c r="C57" s="301"/>
      <c r="E57" s="301"/>
      <c r="F57" s="301"/>
      <c r="G57" s="301"/>
      <c r="H57" s="301"/>
      <c r="I57" s="301"/>
      <c r="J57" s="301"/>
      <c r="K57" s="301"/>
      <c r="L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</row>
    <row r="58" spans="1:38" x14ac:dyDescent="0.3">
      <c r="A58" s="301"/>
      <c r="B58" s="301"/>
      <c r="C58" s="301"/>
      <c r="E58" s="301"/>
      <c r="F58" s="301"/>
      <c r="G58" s="301"/>
      <c r="H58" s="301"/>
      <c r="I58" s="301"/>
      <c r="J58" s="301"/>
      <c r="K58" s="301"/>
      <c r="L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</row>
    <row r="59" spans="1:38" x14ac:dyDescent="0.3">
      <c r="A59" s="301"/>
      <c r="B59" s="301"/>
      <c r="C59" s="301"/>
      <c r="E59" s="301"/>
      <c r="F59" s="301"/>
      <c r="G59" s="301"/>
      <c r="H59" s="301"/>
      <c r="I59" s="301"/>
      <c r="J59" s="301"/>
      <c r="K59" s="301"/>
      <c r="L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</row>
    <row r="60" spans="1:38" x14ac:dyDescent="0.3">
      <c r="A60" s="301"/>
      <c r="B60" s="301"/>
      <c r="C60" s="301"/>
      <c r="E60" s="301"/>
      <c r="F60" s="301"/>
      <c r="G60" s="301"/>
      <c r="H60" s="301"/>
      <c r="I60" s="301"/>
      <c r="J60" s="301"/>
      <c r="K60" s="301"/>
      <c r="L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</row>
    <row r="61" spans="1:38" x14ac:dyDescent="0.3">
      <c r="A61" s="301"/>
      <c r="B61" s="301"/>
      <c r="C61" s="301"/>
      <c r="E61" s="301"/>
      <c r="F61" s="301"/>
      <c r="G61" s="301"/>
      <c r="H61" s="301"/>
      <c r="I61" s="301"/>
      <c r="J61" s="301"/>
      <c r="K61" s="301"/>
      <c r="L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</row>
    <row r="62" spans="1:38" x14ac:dyDescent="0.3">
      <c r="A62" s="301"/>
      <c r="B62" s="301"/>
      <c r="C62" s="301"/>
      <c r="E62" s="301"/>
      <c r="F62" s="301"/>
      <c r="G62" s="301"/>
      <c r="H62" s="301"/>
      <c r="I62" s="301"/>
      <c r="J62" s="301"/>
      <c r="K62" s="301"/>
      <c r="L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</row>
    <row r="63" spans="1:38" x14ac:dyDescent="0.3">
      <c r="A63" s="301"/>
      <c r="B63" s="301"/>
      <c r="C63" s="301"/>
      <c r="E63" s="301"/>
      <c r="F63" s="301"/>
      <c r="G63" s="301"/>
      <c r="H63" s="301"/>
      <c r="I63" s="301"/>
      <c r="J63" s="301"/>
      <c r="K63" s="301"/>
      <c r="L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</row>
    <row r="64" spans="1:38" x14ac:dyDescent="0.3">
      <c r="A64" s="301"/>
      <c r="B64" s="301"/>
      <c r="C64" s="301"/>
      <c r="E64" s="301"/>
      <c r="F64" s="301"/>
      <c r="G64" s="301"/>
      <c r="H64" s="301"/>
      <c r="I64" s="301"/>
      <c r="J64" s="301"/>
      <c r="K64" s="301"/>
      <c r="L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</row>
    <row r="65" spans="1:36" x14ac:dyDescent="0.3">
      <c r="A65" s="301"/>
      <c r="B65" s="301"/>
      <c r="C65" s="301"/>
      <c r="E65" s="301"/>
      <c r="F65" s="301"/>
      <c r="G65" s="301"/>
      <c r="H65" s="301"/>
      <c r="I65" s="301"/>
      <c r="J65" s="301"/>
      <c r="K65" s="301"/>
      <c r="L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</row>
    <row r="66" spans="1:36" x14ac:dyDescent="0.3">
      <c r="A66" s="301"/>
      <c r="B66" s="301"/>
      <c r="C66" s="301"/>
      <c r="E66" s="301"/>
      <c r="F66" s="301"/>
      <c r="G66" s="301"/>
      <c r="H66" s="301"/>
      <c r="I66" s="301"/>
      <c r="J66" s="301"/>
      <c r="K66" s="301"/>
      <c r="L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</row>
    <row r="67" spans="1:36" x14ac:dyDescent="0.3">
      <c r="A67" s="301"/>
      <c r="B67" s="301"/>
      <c r="C67" s="301"/>
      <c r="E67" s="301"/>
      <c r="F67" s="301"/>
      <c r="G67" s="301"/>
      <c r="H67" s="301"/>
      <c r="I67" s="301"/>
      <c r="J67" s="301"/>
      <c r="K67" s="301"/>
      <c r="L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</row>
    <row r="68" spans="1:36" x14ac:dyDescent="0.3">
      <c r="A68" s="301"/>
      <c r="B68" s="301"/>
      <c r="C68" s="301"/>
      <c r="E68" s="301"/>
      <c r="F68" s="301"/>
      <c r="G68" s="301"/>
      <c r="H68" s="301"/>
      <c r="I68" s="301"/>
      <c r="J68" s="301"/>
      <c r="K68" s="301"/>
      <c r="L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</row>
    <row r="69" spans="1:36" x14ac:dyDescent="0.3">
      <c r="A69" s="301"/>
      <c r="B69" s="301"/>
      <c r="C69" s="301"/>
      <c r="E69" s="301"/>
      <c r="F69" s="301"/>
      <c r="G69" s="301"/>
      <c r="H69" s="301"/>
      <c r="I69" s="301"/>
      <c r="J69" s="301"/>
      <c r="K69" s="301"/>
      <c r="L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</row>
    <row r="70" spans="1:36" x14ac:dyDescent="0.3">
      <c r="A70" s="301"/>
      <c r="B70" s="301"/>
      <c r="C70" s="301"/>
      <c r="E70" s="301"/>
      <c r="F70" s="301"/>
      <c r="G70" s="301"/>
      <c r="H70" s="301"/>
      <c r="I70" s="301"/>
      <c r="J70" s="301"/>
      <c r="K70" s="301"/>
      <c r="L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</row>
    <row r="71" spans="1:36" x14ac:dyDescent="0.3">
      <c r="A71" s="301"/>
      <c r="B71" s="301"/>
      <c r="C71" s="301"/>
      <c r="E71" s="301"/>
      <c r="F71" s="301"/>
      <c r="G71" s="301"/>
      <c r="H71" s="301"/>
      <c r="I71" s="301"/>
      <c r="J71" s="301"/>
      <c r="K71" s="301"/>
      <c r="L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</row>
    <row r="72" spans="1:36" x14ac:dyDescent="0.3">
      <c r="A72" s="301"/>
      <c r="B72" s="301"/>
      <c r="C72" s="301"/>
      <c r="E72" s="301"/>
      <c r="F72" s="301"/>
      <c r="G72" s="301"/>
      <c r="H72" s="301"/>
      <c r="I72" s="301"/>
      <c r="J72" s="301"/>
      <c r="K72" s="301"/>
      <c r="L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</row>
    <row r="73" spans="1:36" x14ac:dyDescent="0.3">
      <c r="A73" s="301"/>
      <c r="B73" s="301"/>
      <c r="C73" s="301"/>
      <c r="E73" s="301"/>
      <c r="F73" s="301"/>
      <c r="G73" s="301"/>
      <c r="H73" s="301"/>
      <c r="I73" s="301"/>
      <c r="J73" s="301"/>
      <c r="K73" s="301"/>
      <c r="L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</row>
    <row r="74" spans="1:36" x14ac:dyDescent="0.3">
      <c r="A74" s="301"/>
      <c r="B74" s="301"/>
      <c r="C74" s="301"/>
      <c r="E74" s="301"/>
      <c r="F74" s="301"/>
      <c r="G74" s="301"/>
      <c r="H74" s="301"/>
      <c r="I74" s="301"/>
      <c r="J74" s="301"/>
      <c r="K74" s="301"/>
      <c r="L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</row>
    <row r="75" spans="1:36" x14ac:dyDescent="0.3">
      <c r="A75" s="301"/>
      <c r="B75" s="301"/>
      <c r="C75" s="301"/>
      <c r="E75" s="301"/>
      <c r="F75" s="301"/>
      <c r="G75" s="301"/>
      <c r="H75" s="301"/>
      <c r="I75" s="301"/>
      <c r="J75" s="301"/>
      <c r="K75" s="301"/>
      <c r="L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</row>
    <row r="76" spans="1:36" x14ac:dyDescent="0.3">
      <c r="A76" s="301"/>
      <c r="B76" s="301"/>
      <c r="C76" s="301"/>
      <c r="E76" s="301"/>
      <c r="F76" s="301"/>
      <c r="G76" s="301"/>
      <c r="H76" s="301"/>
      <c r="I76" s="301"/>
      <c r="J76" s="301"/>
      <c r="K76" s="301"/>
      <c r="L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</row>
    <row r="77" spans="1:36" x14ac:dyDescent="0.3">
      <c r="A77" s="301"/>
      <c r="B77" s="301"/>
      <c r="C77" s="301"/>
      <c r="E77" s="301"/>
      <c r="F77" s="301"/>
      <c r="G77" s="301"/>
      <c r="H77" s="301"/>
      <c r="I77" s="301"/>
      <c r="J77" s="301"/>
      <c r="K77" s="301"/>
      <c r="L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</row>
    <row r="78" spans="1:36" x14ac:dyDescent="0.3">
      <c r="A78" s="301"/>
      <c r="B78" s="301"/>
      <c r="C78" s="301"/>
      <c r="E78" s="301"/>
      <c r="F78" s="301"/>
      <c r="G78" s="301"/>
      <c r="H78" s="301"/>
      <c r="I78" s="301"/>
      <c r="J78" s="301"/>
      <c r="K78" s="301"/>
      <c r="L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</row>
    <row r="79" spans="1:36" x14ac:dyDescent="0.3">
      <c r="A79" s="301"/>
      <c r="B79" s="301"/>
      <c r="C79" s="301"/>
      <c r="E79" s="301"/>
      <c r="F79" s="301"/>
      <c r="G79" s="301"/>
      <c r="H79" s="301"/>
      <c r="I79" s="301"/>
      <c r="J79" s="301"/>
      <c r="K79" s="301"/>
      <c r="L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</row>
    <row r="80" spans="1:36" x14ac:dyDescent="0.3">
      <c r="A80" s="301"/>
      <c r="B80" s="301"/>
      <c r="C80" s="301"/>
      <c r="E80" s="301"/>
      <c r="F80" s="301"/>
      <c r="G80" s="301"/>
      <c r="H80" s="301"/>
      <c r="I80" s="301"/>
      <c r="J80" s="301"/>
      <c r="K80" s="301"/>
      <c r="L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</row>
    <row r="81" spans="1:36" x14ac:dyDescent="0.3">
      <c r="A81" s="301"/>
      <c r="B81" s="301"/>
      <c r="C81" s="301"/>
      <c r="E81" s="301"/>
      <c r="F81" s="301"/>
      <c r="G81" s="301"/>
      <c r="H81" s="301"/>
      <c r="I81" s="301"/>
      <c r="J81" s="301"/>
      <c r="K81" s="301"/>
      <c r="L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</row>
    <row r="82" spans="1:36" x14ac:dyDescent="0.3">
      <c r="A82" s="301"/>
      <c r="B82" s="301"/>
      <c r="C82" s="301"/>
      <c r="E82" s="301"/>
      <c r="F82" s="301"/>
      <c r="G82" s="301"/>
      <c r="H82" s="301"/>
      <c r="I82" s="301"/>
      <c r="J82" s="301"/>
      <c r="K82" s="301"/>
      <c r="L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</row>
    <row r="83" spans="1:36" x14ac:dyDescent="0.3">
      <c r="A83" s="301"/>
      <c r="B83" s="301"/>
      <c r="C83" s="301"/>
      <c r="E83" s="301"/>
      <c r="F83" s="301"/>
      <c r="G83" s="301"/>
      <c r="H83" s="301"/>
      <c r="I83" s="301"/>
      <c r="J83" s="301"/>
      <c r="K83" s="301"/>
      <c r="L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</row>
    <row r="84" spans="1:36" x14ac:dyDescent="0.3">
      <c r="A84" s="301"/>
      <c r="B84" s="301"/>
      <c r="C84" s="301"/>
      <c r="E84" s="301"/>
      <c r="F84" s="301"/>
      <c r="G84" s="301"/>
      <c r="H84" s="301"/>
      <c r="I84" s="301"/>
      <c r="J84" s="301"/>
      <c r="K84" s="301"/>
      <c r="L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</row>
    <row r="85" spans="1:36" x14ac:dyDescent="0.3">
      <c r="A85" s="301"/>
      <c r="B85" s="301"/>
      <c r="C85" s="301"/>
      <c r="E85" s="301"/>
      <c r="F85" s="301"/>
      <c r="G85" s="301"/>
      <c r="H85" s="301"/>
      <c r="I85" s="301"/>
      <c r="J85" s="301"/>
      <c r="K85" s="301"/>
      <c r="L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</row>
    <row r="86" spans="1:36" x14ac:dyDescent="0.3">
      <c r="A86" s="301"/>
      <c r="B86" s="301"/>
      <c r="C86" s="301"/>
      <c r="E86" s="301"/>
      <c r="F86" s="301"/>
      <c r="G86" s="301"/>
      <c r="H86" s="301"/>
      <c r="I86" s="301"/>
      <c r="J86" s="301"/>
      <c r="K86" s="301"/>
      <c r="L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</row>
    <row r="87" spans="1:36" x14ac:dyDescent="0.3">
      <c r="A87" s="301"/>
      <c r="B87" s="301"/>
      <c r="C87" s="301"/>
      <c r="E87" s="301"/>
      <c r="F87" s="301"/>
      <c r="G87" s="301"/>
      <c r="H87" s="301"/>
      <c r="I87" s="301"/>
      <c r="J87" s="301"/>
      <c r="K87" s="301"/>
      <c r="L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</row>
    <row r="88" spans="1:36" x14ac:dyDescent="0.3">
      <c r="A88" s="301"/>
      <c r="B88" s="301"/>
      <c r="C88" s="301"/>
      <c r="E88" s="301"/>
      <c r="F88" s="301"/>
      <c r="G88" s="301"/>
      <c r="H88" s="301"/>
      <c r="I88" s="301"/>
      <c r="J88" s="301"/>
      <c r="K88" s="301"/>
      <c r="L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</row>
    <row r="89" spans="1:36" x14ac:dyDescent="0.3">
      <c r="A89" s="301"/>
      <c r="B89" s="301"/>
      <c r="C89" s="301"/>
      <c r="E89" s="301"/>
      <c r="F89" s="301"/>
      <c r="G89" s="301"/>
      <c r="H89" s="301"/>
      <c r="I89" s="301"/>
      <c r="J89" s="301"/>
      <c r="K89" s="301"/>
      <c r="L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</row>
    <row r="90" spans="1:36" x14ac:dyDescent="0.3">
      <c r="A90" s="301"/>
      <c r="B90" s="301"/>
      <c r="C90" s="301"/>
      <c r="E90" s="301"/>
      <c r="F90" s="301"/>
      <c r="G90" s="301"/>
      <c r="H90" s="301"/>
      <c r="I90" s="301"/>
      <c r="J90" s="301"/>
      <c r="K90" s="301"/>
      <c r="L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</row>
    <row r="91" spans="1:36" x14ac:dyDescent="0.3">
      <c r="A91" s="301"/>
      <c r="B91" s="301"/>
      <c r="C91" s="301"/>
      <c r="E91" s="301"/>
      <c r="F91" s="301"/>
      <c r="G91" s="301"/>
      <c r="H91" s="301"/>
      <c r="I91" s="301"/>
      <c r="J91" s="301"/>
      <c r="K91" s="301"/>
      <c r="L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</row>
    <row r="92" spans="1:36" x14ac:dyDescent="0.3">
      <c r="A92" s="301"/>
      <c r="B92" s="301"/>
      <c r="C92" s="301"/>
      <c r="E92" s="301"/>
      <c r="F92" s="301"/>
      <c r="G92" s="301"/>
      <c r="H92" s="301"/>
      <c r="I92" s="301"/>
      <c r="J92" s="301"/>
      <c r="K92" s="301"/>
      <c r="L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</row>
    <row r="93" spans="1:36" x14ac:dyDescent="0.3">
      <c r="A93" s="301"/>
      <c r="B93" s="301"/>
      <c r="C93" s="301"/>
      <c r="E93" s="301"/>
      <c r="F93" s="301"/>
      <c r="G93" s="301"/>
      <c r="H93" s="301"/>
      <c r="I93" s="301"/>
      <c r="J93" s="301"/>
      <c r="K93" s="301"/>
      <c r="L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</row>
    <row r="94" spans="1:36" x14ac:dyDescent="0.3">
      <c r="A94" s="301"/>
      <c r="B94" s="301"/>
      <c r="C94" s="301"/>
      <c r="E94" s="301"/>
      <c r="F94" s="301"/>
      <c r="G94" s="301"/>
      <c r="H94" s="301"/>
      <c r="I94" s="301"/>
      <c r="J94" s="301"/>
      <c r="K94" s="301"/>
      <c r="L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Z94" s="301"/>
      <c r="AA94" s="301"/>
      <c r="AB94" s="301"/>
      <c r="AC94" s="301"/>
      <c r="AD94" s="301"/>
      <c r="AE94" s="301"/>
      <c r="AF94" s="301"/>
      <c r="AG94" s="301"/>
      <c r="AH94" s="301"/>
      <c r="AI94" s="301"/>
      <c r="AJ94" s="301"/>
    </row>
    <row r="95" spans="1:36" x14ac:dyDescent="0.3">
      <c r="A95" s="301"/>
      <c r="B95" s="301"/>
      <c r="C95" s="301"/>
      <c r="E95" s="301"/>
      <c r="F95" s="301"/>
      <c r="G95" s="301"/>
      <c r="H95" s="301"/>
      <c r="I95" s="301"/>
      <c r="J95" s="301"/>
      <c r="K95" s="301"/>
      <c r="L95" s="301"/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X95" s="301"/>
      <c r="Z95" s="301"/>
      <c r="AA95" s="301"/>
      <c r="AB95" s="301"/>
      <c r="AC95" s="301"/>
      <c r="AD95" s="301"/>
      <c r="AE95" s="301"/>
      <c r="AF95" s="301"/>
      <c r="AG95" s="301"/>
      <c r="AH95" s="301"/>
      <c r="AI95" s="301"/>
      <c r="AJ95" s="301"/>
    </row>
    <row r="96" spans="1:36" x14ac:dyDescent="0.3">
      <c r="A96" s="301"/>
      <c r="B96" s="301"/>
      <c r="C96" s="301"/>
      <c r="E96" s="301"/>
      <c r="F96" s="301"/>
      <c r="G96" s="301"/>
      <c r="H96" s="301"/>
      <c r="I96" s="301"/>
      <c r="J96" s="301"/>
      <c r="K96" s="301"/>
      <c r="L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Z96" s="301"/>
      <c r="AA96" s="301"/>
      <c r="AB96" s="301"/>
      <c r="AC96" s="301"/>
      <c r="AD96" s="301"/>
      <c r="AE96" s="301"/>
      <c r="AF96" s="301"/>
      <c r="AG96" s="301"/>
      <c r="AH96" s="301"/>
      <c r="AI96" s="301"/>
      <c r="AJ96" s="301"/>
    </row>
    <row r="97" spans="1:36" x14ac:dyDescent="0.3">
      <c r="A97" s="301"/>
      <c r="B97" s="301"/>
      <c r="C97" s="301"/>
      <c r="E97" s="301"/>
      <c r="F97" s="301"/>
      <c r="G97" s="301"/>
      <c r="H97" s="301"/>
      <c r="I97" s="301"/>
      <c r="J97" s="301"/>
      <c r="K97" s="301"/>
      <c r="L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Z97" s="301"/>
      <c r="AA97" s="301"/>
      <c r="AB97" s="301"/>
      <c r="AC97" s="301"/>
      <c r="AD97" s="301"/>
      <c r="AE97" s="301"/>
      <c r="AF97" s="301"/>
      <c r="AG97" s="301"/>
      <c r="AH97" s="301"/>
      <c r="AI97" s="301"/>
      <c r="AJ97" s="301"/>
    </row>
    <row r="98" spans="1:36" x14ac:dyDescent="0.3">
      <c r="A98" s="301"/>
      <c r="B98" s="301"/>
      <c r="C98" s="301"/>
      <c r="E98" s="301"/>
      <c r="F98" s="301"/>
      <c r="G98" s="301"/>
      <c r="H98" s="301"/>
      <c r="I98" s="301"/>
      <c r="J98" s="301"/>
      <c r="K98" s="301"/>
      <c r="L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  <c r="AJ98" s="301"/>
    </row>
    <row r="99" spans="1:36" x14ac:dyDescent="0.3">
      <c r="A99" s="301"/>
      <c r="B99" s="301"/>
      <c r="C99" s="301"/>
      <c r="E99" s="301"/>
      <c r="F99" s="301"/>
      <c r="G99" s="301"/>
      <c r="H99" s="301"/>
      <c r="I99" s="301"/>
      <c r="J99" s="301"/>
      <c r="K99" s="301"/>
      <c r="L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</row>
    <row r="100" spans="1:36" x14ac:dyDescent="0.3">
      <c r="A100" s="301"/>
      <c r="B100" s="301"/>
      <c r="C100" s="301"/>
      <c r="E100" s="301"/>
      <c r="F100" s="301"/>
      <c r="G100" s="301"/>
      <c r="H100" s="301"/>
      <c r="I100" s="301"/>
      <c r="J100" s="301"/>
      <c r="K100" s="301"/>
      <c r="L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  <c r="AJ100" s="301"/>
    </row>
    <row r="101" spans="1:36" x14ac:dyDescent="0.3">
      <c r="A101" s="301"/>
      <c r="B101" s="301"/>
      <c r="C101" s="301"/>
      <c r="E101" s="301"/>
      <c r="F101" s="301"/>
      <c r="G101" s="301"/>
      <c r="H101" s="301"/>
      <c r="I101" s="301"/>
      <c r="J101" s="301"/>
      <c r="K101" s="301"/>
      <c r="L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  <c r="AJ101" s="301"/>
    </row>
    <row r="102" spans="1:36" x14ac:dyDescent="0.3">
      <c r="A102" s="301"/>
      <c r="B102" s="301"/>
      <c r="C102" s="301"/>
      <c r="E102" s="301"/>
      <c r="F102" s="301"/>
      <c r="G102" s="301"/>
      <c r="H102" s="301"/>
      <c r="I102" s="301"/>
      <c r="J102" s="301"/>
      <c r="K102" s="301"/>
      <c r="L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  <c r="AJ102" s="301"/>
    </row>
    <row r="103" spans="1:36" x14ac:dyDescent="0.3">
      <c r="A103" s="301"/>
      <c r="B103" s="301"/>
      <c r="C103" s="301"/>
      <c r="E103" s="301"/>
      <c r="F103" s="301"/>
      <c r="G103" s="301"/>
      <c r="H103" s="301"/>
      <c r="I103" s="301"/>
      <c r="J103" s="301"/>
      <c r="K103" s="301"/>
      <c r="L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  <c r="AJ103" s="301"/>
    </row>
    <row r="104" spans="1:36" x14ac:dyDescent="0.3">
      <c r="A104" s="301"/>
      <c r="B104" s="301"/>
      <c r="C104" s="301"/>
      <c r="E104" s="301"/>
      <c r="F104" s="301"/>
      <c r="G104" s="301"/>
      <c r="H104" s="301"/>
      <c r="I104" s="301"/>
      <c r="J104" s="301"/>
      <c r="K104" s="301"/>
      <c r="L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  <c r="AJ104" s="301"/>
    </row>
    <row r="105" spans="1:36" x14ac:dyDescent="0.3">
      <c r="A105" s="301"/>
      <c r="B105" s="301"/>
      <c r="C105" s="301"/>
      <c r="E105" s="301"/>
      <c r="F105" s="301"/>
      <c r="G105" s="301"/>
      <c r="H105" s="301"/>
      <c r="I105" s="301"/>
      <c r="J105" s="301"/>
      <c r="K105" s="301"/>
      <c r="L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  <c r="AJ105" s="301"/>
    </row>
    <row r="106" spans="1:36" x14ac:dyDescent="0.3">
      <c r="A106" s="301"/>
      <c r="B106" s="301"/>
      <c r="C106" s="301"/>
      <c r="E106" s="301"/>
      <c r="F106" s="301"/>
      <c r="G106" s="301"/>
      <c r="H106" s="301"/>
      <c r="I106" s="301"/>
      <c r="J106" s="301"/>
      <c r="K106" s="301"/>
      <c r="L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  <c r="AJ106" s="301"/>
    </row>
    <row r="107" spans="1:36" x14ac:dyDescent="0.3">
      <c r="A107" s="301"/>
      <c r="B107" s="301"/>
      <c r="C107" s="301"/>
      <c r="E107" s="301"/>
      <c r="F107" s="301"/>
      <c r="G107" s="301"/>
      <c r="H107" s="301"/>
      <c r="I107" s="301"/>
      <c r="J107" s="301"/>
      <c r="K107" s="301"/>
      <c r="L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</row>
    <row r="108" spans="1:36" x14ac:dyDescent="0.3">
      <c r="A108" s="301"/>
      <c r="B108" s="301"/>
      <c r="C108" s="301"/>
      <c r="E108" s="301"/>
      <c r="F108" s="301"/>
      <c r="G108" s="301"/>
      <c r="H108" s="301"/>
      <c r="I108" s="301"/>
      <c r="J108" s="301"/>
      <c r="K108" s="301"/>
      <c r="L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</row>
    <row r="109" spans="1:36" x14ac:dyDescent="0.3">
      <c r="A109" s="301"/>
      <c r="B109" s="301"/>
      <c r="C109" s="301"/>
      <c r="E109" s="301"/>
      <c r="F109" s="301"/>
      <c r="G109" s="301"/>
      <c r="H109" s="301"/>
      <c r="I109" s="301"/>
      <c r="J109" s="301"/>
      <c r="K109" s="301"/>
      <c r="L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</row>
    <row r="110" spans="1:36" x14ac:dyDescent="0.3">
      <c r="A110" s="301"/>
      <c r="B110" s="301"/>
      <c r="C110" s="301"/>
      <c r="E110" s="301"/>
      <c r="F110" s="301"/>
      <c r="G110" s="301"/>
      <c r="H110" s="301"/>
      <c r="I110" s="301"/>
      <c r="J110" s="301"/>
      <c r="K110" s="301"/>
      <c r="L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</row>
    <row r="111" spans="1:36" x14ac:dyDescent="0.3">
      <c r="A111" s="301"/>
      <c r="B111" s="301"/>
      <c r="C111" s="301"/>
      <c r="E111" s="301"/>
      <c r="F111" s="301"/>
      <c r="G111" s="301"/>
      <c r="H111" s="301"/>
      <c r="I111" s="301"/>
      <c r="J111" s="301"/>
      <c r="K111" s="301"/>
      <c r="L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</row>
    <row r="112" spans="1:36" x14ac:dyDescent="0.3">
      <c r="A112" s="301"/>
      <c r="B112" s="301"/>
      <c r="C112" s="301"/>
      <c r="E112" s="301"/>
      <c r="F112" s="301"/>
      <c r="G112" s="301"/>
      <c r="H112" s="301"/>
      <c r="I112" s="301"/>
      <c r="J112" s="301"/>
      <c r="K112" s="301"/>
      <c r="L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Z112" s="301"/>
      <c r="AA112" s="301"/>
      <c r="AB112" s="301"/>
      <c r="AC112" s="301"/>
      <c r="AD112" s="301"/>
      <c r="AE112" s="301"/>
      <c r="AF112" s="301"/>
      <c r="AG112" s="301"/>
      <c r="AH112" s="301"/>
      <c r="AI112" s="301"/>
      <c r="AJ112" s="301"/>
    </row>
    <row r="113" spans="1:36" x14ac:dyDescent="0.3">
      <c r="A113" s="301"/>
      <c r="B113" s="301"/>
      <c r="C113" s="301"/>
      <c r="E113" s="301"/>
      <c r="F113" s="301"/>
      <c r="G113" s="301"/>
      <c r="H113" s="301"/>
      <c r="I113" s="301"/>
      <c r="J113" s="301"/>
      <c r="K113" s="301"/>
      <c r="L113" s="301"/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Z113" s="301"/>
      <c r="AA113" s="301"/>
      <c r="AB113" s="301"/>
      <c r="AC113" s="301"/>
      <c r="AD113" s="301"/>
      <c r="AE113" s="301"/>
      <c r="AF113" s="301"/>
      <c r="AG113" s="301"/>
      <c r="AH113" s="301"/>
      <c r="AI113" s="301"/>
      <c r="AJ113" s="301"/>
    </row>
    <row r="114" spans="1:36" x14ac:dyDescent="0.3">
      <c r="A114" s="301"/>
      <c r="B114" s="301"/>
      <c r="C114" s="301"/>
      <c r="E114" s="301"/>
      <c r="F114" s="301"/>
      <c r="G114" s="301"/>
      <c r="H114" s="301"/>
      <c r="I114" s="301"/>
      <c r="J114" s="301"/>
      <c r="K114" s="301"/>
      <c r="L114" s="301"/>
      <c r="N114" s="301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Z114" s="301"/>
      <c r="AA114" s="301"/>
      <c r="AB114" s="301"/>
      <c r="AC114" s="301"/>
      <c r="AD114" s="301"/>
      <c r="AE114" s="301"/>
      <c r="AF114" s="301"/>
      <c r="AG114" s="301"/>
      <c r="AH114" s="301"/>
      <c r="AI114" s="301"/>
      <c r="AJ114" s="301"/>
    </row>
    <row r="115" spans="1:36" x14ac:dyDescent="0.3">
      <c r="A115" s="301"/>
      <c r="B115" s="301"/>
      <c r="C115" s="301"/>
      <c r="E115" s="301"/>
      <c r="F115" s="301"/>
      <c r="G115" s="301"/>
      <c r="H115" s="301"/>
      <c r="I115" s="301"/>
      <c r="J115" s="301"/>
      <c r="K115" s="301"/>
      <c r="L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Z115" s="301"/>
      <c r="AA115" s="301"/>
      <c r="AB115" s="301"/>
      <c r="AC115" s="301"/>
      <c r="AD115" s="301"/>
      <c r="AE115" s="301"/>
      <c r="AF115" s="301"/>
      <c r="AG115" s="301"/>
      <c r="AH115" s="301"/>
      <c r="AI115" s="301"/>
      <c r="AJ115" s="301"/>
    </row>
    <row r="116" spans="1:36" x14ac:dyDescent="0.3">
      <c r="A116" s="301"/>
      <c r="B116" s="301"/>
      <c r="C116" s="301"/>
      <c r="E116" s="301"/>
      <c r="F116" s="301"/>
      <c r="G116" s="301"/>
      <c r="H116" s="301"/>
      <c r="I116" s="301"/>
      <c r="J116" s="301"/>
      <c r="K116" s="301"/>
      <c r="L116" s="301"/>
      <c r="N116" s="301"/>
      <c r="O116" s="301"/>
      <c r="P116" s="301"/>
      <c r="Q116" s="301"/>
      <c r="R116" s="301"/>
      <c r="S116" s="301"/>
      <c r="T116" s="301"/>
      <c r="U116" s="301"/>
      <c r="V116" s="301"/>
      <c r="W116" s="301"/>
      <c r="X116" s="301"/>
      <c r="Z116" s="301"/>
      <c r="AA116" s="301"/>
      <c r="AB116" s="301"/>
      <c r="AC116" s="301"/>
      <c r="AD116" s="301"/>
      <c r="AE116" s="301"/>
      <c r="AF116" s="301"/>
      <c r="AG116" s="301"/>
      <c r="AH116" s="301"/>
      <c r="AI116" s="301"/>
      <c r="AJ116" s="301"/>
    </row>
    <row r="117" spans="1:36" x14ac:dyDescent="0.3">
      <c r="A117" s="301"/>
      <c r="B117" s="301"/>
      <c r="C117" s="301"/>
      <c r="E117" s="301"/>
      <c r="F117" s="301"/>
      <c r="G117" s="301"/>
      <c r="H117" s="301"/>
      <c r="I117" s="301"/>
      <c r="J117" s="301"/>
      <c r="K117" s="301"/>
      <c r="L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Z117" s="301"/>
      <c r="AA117" s="301"/>
      <c r="AB117" s="301"/>
      <c r="AC117" s="301"/>
      <c r="AD117" s="301"/>
      <c r="AE117" s="301"/>
      <c r="AF117" s="301"/>
      <c r="AG117" s="301"/>
      <c r="AH117" s="301"/>
      <c r="AI117" s="301"/>
      <c r="AJ117" s="301"/>
    </row>
    <row r="118" spans="1:36" x14ac:dyDescent="0.3">
      <c r="A118" s="301"/>
      <c r="B118" s="301"/>
      <c r="C118" s="301"/>
      <c r="E118" s="301"/>
      <c r="F118" s="301"/>
      <c r="G118" s="301"/>
      <c r="H118" s="301"/>
      <c r="I118" s="301"/>
      <c r="J118" s="301"/>
      <c r="K118" s="301"/>
      <c r="L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Z118" s="301"/>
      <c r="AA118" s="301"/>
      <c r="AB118" s="301"/>
      <c r="AC118" s="301"/>
      <c r="AD118" s="301"/>
      <c r="AE118" s="301"/>
      <c r="AF118" s="301"/>
      <c r="AG118" s="301"/>
      <c r="AH118" s="301"/>
      <c r="AI118" s="301"/>
      <c r="AJ118" s="301"/>
    </row>
    <row r="119" spans="1:36" x14ac:dyDescent="0.3">
      <c r="A119" s="301"/>
      <c r="B119" s="301"/>
      <c r="C119" s="301"/>
      <c r="E119" s="301"/>
      <c r="F119" s="301"/>
      <c r="G119" s="301"/>
      <c r="H119" s="301"/>
      <c r="I119" s="301"/>
      <c r="J119" s="301"/>
      <c r="K119" s="301"/>
      <c r="L119" s="301"/>
      <c r="N119" s="301"/>
      <c r="O119" s="301"/>
      <c r="P119" s="301"/>
      <c r="Q119" s="301"/>
      <c r="R119" s="301"/>
      <c r="S119" s="301"/>
      <c r="T119" s="301"/>
      <c r="U119" s="301"/>
      <c r="V119" s="301"/>
      <c r="W119" s="301"/>
      <c r="X119" s="301"/>
      <c r="Z119" s="301"/>
      <c r="AA119" s="301"/>
      <c r="AB119" s="301"/>
      <c r="AC119" s="301"/>
      <c r="AD119" s="301"/>
      <c r="AE119" s="301"/>
      <c r="AF119" s="301"/>
      <c r="AG119" s="301"/>
      <c r="AH119" s="301"/>
      <c r="AI119" s="301"/>
      <c r="AJ119" s="301"/>
    </row>
    <row r="120" spans="1:36" x14ac:dyDescent="0.3">
      <c r="A120" s="301"/>
      <c r="B120" s="301"/>
      <c r="C120" s="301"/>
      <c r="E120" s="301"/>
      <c r="F120" s="301"/>
      <c r="G120" s="301"/>
      <c r="H120" s="301"/>
      <c r="I120" s="301"/>
      <c r="J120" s="301"/>
      <c r="K120" s="301"/>
      <c r="L120" s="301"/>
      <c r="N120" s="301"/>
      <c r="O120" s="301"/>
      <c r="P120" s="301"/>
      <c r="Q120" s="301"/>
      <c r="R120" s="301"/>
      <c r="S120" s="301"/>
      <c r="T120" s="301"/>
      <c r="U120" s="301"/>
      <c r="V120" s="301"/>
      <c r="W120" s="301"/>
      <c r="X120" s="301"/>
      <c r="Z120" s="301"/>
      <c r="AA120" s="301"/>
      <c r="AB120" s="301"/>
      <c r="AC120" s="301"/>
      <c r="AD120" s="301"/>
      <c r="AE120" s="301"/>
      <c r="AF120" s="301"/>
      <c r="AG120" s="301"/>
      <c r="AH120" s="301"/>
      <c r="AI120" s="301"/>
      <c r="AJ120" s="301"/>
    </row>
    <row r="121" spans="1:36" x14ac:dyDescent="0.3">
      <c r="A121" s="301"/>
      <c r="B121" s="301"/>
      <c r="C121" s="301"/>
      <c r="E121" s="301"/>
      <c r="F121" s="301"/>
      <c r="G121" s="301"/>
      <c r="H121" s="301"/>
      <c r="I121" s="301"/>
      <c r="J121" s="301"/>
      <c r="K121" s="301"/>
      <c r="L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</row>
    <row r="122" spans="1:36" x14ac:dyDescent="0.3">
      <c r="A122" s="301"/>
      <c r="B122" s="301"/>
      <c r="C122" s="301"/>
      <c r="E122" s="301"/>
      <c r="F122" s="301"/>
      <c r="G122" s="301"/>
      <c r="H122" s="301"/>
      <c r="I122" s="301"/>
      <c r="J122" s="301"/>
      <c r="K122" s="301"/>
      <c r="L122" s="301"/>
      <c r="N122" s="301"/>
      <c r="O122" s="301"/>
      <c r="P122" s="301"/>
      <c r="Q122" s="301"/>
      <c r="R122" s="301"/>
      <c r="S122" s="301"/>
      <c r="T122" s="301"/>
      <c r="U122" s="301"/>
      <c r="V122" s="301"/>
      <c r="W122" s="301"/>
      <c r="X122" s="301"/>
      <c r="Z122" s="301"/>
      <c r="AA122" s="301"/>
      <c r="AB122" s="301"/>
      <c r="AC122" s="301"/>
      <c r="AD122" s="301"/>
      <c r="AE122" s="301"/>
      <c r="AF122" s="301"/>
      <c r="AG122" s="301"/>
      <c r="AH122" s="301"/>
      <c r="AI122" s="301"/>
      <c r="AJ122" s="301"/>
    </row>
    <row r="123" spans="1:36" x14ac:dyDescent="0.3">
      <c r="A123" s="301"/>
      <c r="B123" s="301"/>
      <c r="C123" s="301"/>
      <c r="E123" s="301"/>
      <c r="F123" s="301"/>
      <c r="G123" s="301"/>
      <c r="H123" s="301"/>
      <c r="I123" s="301"/>
      <c r="J123" s="301"/>
      <c r="K123" s="301"/>
      <c r="L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Z123" s="301"/>
      <c r="AA123" s="301"/>
      <c r="AB123" s="301"/>
      <c r="AC123" s="301"/>
      <c r="AD123" s="301"/>
      <c r="AE123" s="301"/>
      <c r="AF123" s="301"/>
      <c r="AG123" s="301"/>
      <c r="AH123" s="301"/>
      <c r="AI123" s="301"/>
      <c r="AJ123" s="301"/>
    </row>
    <row r="124" spans="1:36" x14ac:dyDescent="0.3">
      <c r="A124" s="301"/>
      <c r="B124" s="301"/>
      <c r="C124" s="301"/>
      <c r="E124" s="301"/>
      <c r="F124" s="301"/>
      <c r="G124" s="301"/>
      <c r="H124" s="301"/>
      <c r="I124" s="301"/>
      <c r="J124" s="301"/>
      <c r="K124" s="301"/>
      <c r="L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Z124" s="301"/>
      <c r="AA124" s="301"/>
      <c r="AB124" s="301"/>
      <c r="AC124" s="301"/>
      <c r="AD124" s="301"/>
      <c r="AE124" s="301"/>
      <c r="AF124" s="301"/>
      <c r="AG124" s="301"/>
      <c r="AH124" s="301"/>
      <c r="AI124" s="301"/>
      <c r="AJ124" s="301"/>
    </row>
    <row r="125" spans="1:36" x14ac:dyDescent="0.3">
      <c r="A125" s="301"/>
      <c r="B125" s="301"/>
      <c r="C125" s="301"/>
      <c r="E125" s="301"/>
      <c r="F125" s="301"/>
      <c r="G125" s="301"/>
      <c r="H125" s="301"/>
      <c r="I125" s="301"/>
      <c r="J125" s="301"/>
      <c r="K125" s="301"/>
      <c r="L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Z125" s="301"/>
      <c r="AA125" s="301"/>
      <c r="AB125" s="301"/>
      <c r="AC125" s="301"/>
      <c r="AD125" s="301"/>
      <c r="AE125" s="301"/>
      <c r="AF125" s="301"/>
      <c r="AG125" s="301"/>
      <c r="AH125" s="301"/>
      <c r="AI125" s="301"/>
      <c r="AJ125" s="301"/>
    </row>
    <row r="126" spans="1:36" x14ac:dyDescent="0.3">
      <c r="A126" s="301"/>
      <c r="B126" s="301"/>
      <c r="C126" s="301"/>
      <c r="E126" s="301"/>
      <c r="F126" s="301"/>
      <c r="G126" s="301"/>
      <c r="H126" s="301"/>
      <c r="I126" s="301"/>
      <c r="J126" s="301"/>
      <c r="K126" s="301"/>
      <c r="L126" s="301"/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  <c r="Z126" s="301"/>
      <c r="AA126" s="301"/>
      <c r="AB126" s="301"/>
      <c r="AC126" s="301"/>
      <c r="AD126" s="301"/>
      <c r="AE126" s="301"/>
      <c r="AF126" s="301"/>
      <c r="AG126" s="301"/>
      <c r="AH126" s="301"/>
      <c r="AI126" s="301"/>
      <c r="AJ126" s="301"/>
    </row>
    <row r="127" spans="1:36" x14ac:dyDescent="0.3">
      <c r="A127" s="301"/>
      <c r="B127" s="301"/>
      <c r="C127" s="301"/>
      <c r="E127" s="301"/>
      <c r="F127" s="301"/>
      <c r="G127" s="301"/>
      <c r="H127" s="301"/>
      <c r="I127" s="301"/>
      <c r="J127" s="301"/>
      <c r="K127" s="301"/>
      <c r="L127" s="301"/>
      <c r="N127" s="301"/>
      <c r="O127" s="301"/>
      <c r="P127" s="301"/>
      <c r="Q127" s="301"/>
      <c r="R127" s="301"/>
      <c r="S127" s="301"/>
      <c r="T127" s="301"/>
      <c r="U127" s="301"/>
      <c r="V127" s="301"/>
      <c r="W127" s="301"/>
      <c r="X127" s="301"/>
      <c r="Z127" s="301"/>
      <c r="AA127" s="301"/>
      <c r="AB127" s="301"/>
      <c r="AC127" s="301"/>
      <c r="AD127" s="301"/>
      <c r="AE127" s="301"/>
      <c r="AF127" s="301"/>
      <c r="AG127" s="301"/>
      <c r="AH127" s="301"/>
      <c r="AI127" s="301"/>
      <c r="AJ127" s="301"/>
    </row>
    <row r="128" spans="1:36" x14ac:dyDescent="0.3">
      <c r="A128" s="301"/>
      <c r="B128" s="301"/>
      <c r="C128" s="301"/>
      <c r="E128" s="301"/>
      <c r="F128" s="301"/>
      <c r="G128" s="301"/>
      <c r="H128" s="301"/>
      <c r="I128" s="301"/>
      <c r="J128" s="301"/>
      <c r="K128" s="301"/>
      <c r="L128" s="301"/>
      <c r="N128" s="301"/>
      <c r="O128" s="301"/>
      <c r="P128" s="301"/>
      <c r="Q128" s="301"/>
      <c r="R128" s="301"/>
      <c r="S128" s="301"/>
      <c r="T128" s="301"/>
      <c r="U128" s="301"/>
      <c r="V128" s="301"/>
      <c r="W128" s="301"/>
      <c r="X128" s="301"/>
      <c r="Z128" s="301"/>
      <c r="AA128" s="301"/>
      <c r="AB128" s="301"/>
      <c r="AC128" s="301"/>
      <c r="AD128" s="301"/>
      <c r="AE128" s="301"/>
      <c r="AF128" s="301"/>
      <c r="AG128" s="301"/>
      <c r="AH128" s="301"/>
      <c r="AI128" s="301"/>
      <c r="AJ128" s="301"/>
    </row>
    <row r="129" spans="1:36" x14ac:dyDescent="0.3">
      <c r="A129" s="301"/>
      <c r="B129" s="301"/>
      <c r="C129" s="301"/>
      <c r="E129" s="301"/>
      <c r="F129" s="301"/>
      <c r="G129" s="301"/>
      <c r="H129" s="301"/>
      <c r="I129" s="301"/>
      <c r="J129" s="301"/>
      <c r="K129" s="301"/>
      <c r="L129" s="301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Z129" s="301"/>
      <c r="AA129" s="301"/>
      <c r="AB129" s="301"/>
      <c r="AC129" s="301"/>
      <c r="AD129" s="301"/>
      <c r="AE129" s="301"/>
      <c r="AF129" s="301"/>
      <c r="AG129" s="301"/>
      <c r="AH129" s="301"/>
      <c r="AI129" s="301"/>
      <c r="AJ129" s="301"/>
    </row>
    <row r="130" spans="1:36" x14ac:dyDescent="0.3">
      <c r="A130" s="301"/>
      <c r="B130" s="301"/>
      <c r="C130" s="301"/>
      <c r="E130" s="301"/>
      <c r="F130" s="301"/>
      <c r="G130" s="301"/>
      <c r="H130" s="301"/>
      <c r="I130" s="301"/>
      <c r="J130" s="301"/>
      <c r="K130" s="301"/>
      <c r="L130" s="301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Z130" s="301"/>
      <c r="AA130" s="301"/>
      <c r="AB130" s="301"/>
      <c r="AC130" s="301"/>
      <c r="AD130" s="301"/>
      <c r="AE130" s="301"/>
      <c r="AF130" s="301"/>
      <c r="AG130" s="301"/>
      <c r="AH130" s="301"/>
      <c r="AI130" s="301"/>
      <c r="AJ130" s="301"/>
    </row>
    <row r="131" spans="1:36" x14ac:dyDescent="0.3">
      <c r="A131" s="301"/>
      <c r="B131" s="301"/>
      <c r="C131" s="301"/>
      <c r="E131" s="301"/>
      <c r="F131" s="301"/>
      <c r="G131" s="301"/>
      <c r="H131" s="301"/>
      <c r="I131" s="301"/>
      <c r="J131" s="301"/>
      <c r="K131" s="301"/>
      <c r="L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Z131" s="301"/>
      <c r="AA131" s="301"/>
      <c r="AB131" s="301"/>
      <c r="AC131" s="301"/>
      <c r="AD131" s="301"/>
      <c r="AE131" s="301"/>
      <c r="AF131" s="301"/>
      <c r="AG131" s="301"/>
      <c r="AH131" s="301"/>
      <c r="AI131" s="301"/>
      <c r="AJ131" s="301"/>
    </row>
    <row r="132" spans="1:36" x14ac:dyDescent="0.3">
      <c r="A132" s="301"/>
      <c r="B132" s="301"/>
      <c r="C132" s="301"/>
      <c r="E132" s="301"/>
      <c r="F132" s="301"/>
      <c r="G132" s="301"/>
      <c r="H132" s="301"/>
      <c r="I132" s="301"/>
      <c r="J132" s="301"/>
      <c r="K132" s="301"/>
      <c r="L132" s="301"/>
      <c r="N132" s="301"/>
      <c r="O132" s="301"/>
      <c r="P132" s="301"/>
      <c r="Q132" s="301"/>
      <c r="R132" s="301"/>
      <c r="S132" s="301"/>
      <c r="T132" s="301"/>
      <c r="U132" s="301"/>
      <c r="V132" s="301"/>
      <c r="W132" s="301"/>
      <c r="X132" s="301"/>
      <c r="Z132" s="301"/>
      <c r="AA132" s="301"/>
      <c r="AB132" s="301"/>
      <c r="AC132" s="301"/>
      <c r="AD132" s="301"/>
      <c r="AE132" s="301"/>
      <c r="AF132" s="301"/>
      <c r="AG132" s="301"/>
      <c r="AH132" s="301"/>
      <c r="AI132" s="301"/>
      <c r="AJ132" s="301"/>
    </row>
    <row r="133" spans="1:36" x14ac:dyDescent="0.3">
      <c r="A133" s="301"/>
      <c r="B133" s="301"/>
      <c r="C133" s="301"/>
      <c r="E133" s="301"/>
      <c r="F133" s="301"/>
      <c r="G133" s="301"/>
      <c r="H133" s="301"/>
      <c r="I133" s="301"/>
      <c r="J133" s="301"/>
      <c r="K133" s="301"/>
      <c r="L133" s="301"/>
      <c r="N133" s="301"/>
      <c r="O133" s="301"/>
      <c r="P133" s="301"/>
      <c r="Q133" s="301"/>
      <c r="R133" s="301"/>
      <c r="S133" s="301"/>
      <c r="T133" s="301"/>
      <c r="U133" s="301"/>
      <c r="V133" s="301"/>
      <c r="W133" s="301"/>
      <c r="X133" s="301"/>
      <c r="Z133" s="301"/>
      <c r="AA133" s="301"/>
      <c r="AB133" s="301"/>
      <c r="AC133" s="301"/>
      <c r="AD133" s="301"/>
      <c r="AE133" s="301"/>
      <c r="AF133" s="301"/>
      <c r="AG133" s="301"/>
      <c r="AH133" s="301"/>
      <c r="AI133" s="301"/>
      <c r="AJ133" s="301"/>
    </row>
    <row r="134" spans="1:36" x14ac:dyDescent="0.3">
      <c r="A134" s="301"/>
      <c r="B134" s="301"/>
      <c r="C134" s="301"/>
      <c r="E134" s="301"/>
      <c r="F134" s="301"/>
      <c r="G134" s="301"/>
      <c r="H134" s="301"/>
      <c r="I134" s="301"/>
      <c r="J134" s="301"/>
      <c r="K134" s="301"/>
      <c r="L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Z134" s="301"/>
      <c r="AA134" s="301"/>
      <c r="AB134" s="301"/>
      <c r="AC134" s="301"/>
      <c r="AD134" s="301"/>
      <c r="AE134" s="301"/>
      <c r="AF134" s="301"/>
      <c r="AG134" s="301"/>
      <c r="AH134" s="301"/>
      <c r="AI134" s="301"/>
      <c r="AJ134" s="301"/>
    </row>
    <row r="135" spans="1:36" x14ac:dyDescent="0.3">
      <c r="A135" s="301"/>
      <c r="B135" s="301"/>
      <c r="C135" s="301"/>
      <c r="E135" s="301"/>
      <c r="F135" s="301"/>
      <c r="G135" s="301"/>
      <c r="H135" s="301"/>
      <c r="I135" s="301"/>
      <c r="J135" s="301"/>
      <c r="K135" s="301"/>
      <c r="L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</row>
    <row r="136" spans="1:36" x14ac:dyDescent="0.3">
      <c r="A136" s="301"/>
      <c r="B136" s="301"/>
      <c r="C136" s="301"/>
      <c r="E136" s="301"/>
      <c r="F136" s="301"/>
      <c r="G136" s="301"/>
      <c r="H136" s="301"/>
      <c r="I136" s="301"/>
      <c r="J136" s="301"/>
      <c r="K136" s="301"/>
      <c r="L136" s="301"/>
      <c r="N136" s="301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Z136" s="301"/>
      <c r="AA136" s="301"/>
      <c r="AB136" s="301"/>
      <c r="AC136" s="301"/>
      <c r="AD136" s="301"/>
      <c r="AE136" s="301"/>
      <c r="AF136" s="301"/>
      <c r="AG136" s="301"/>
      <c r="AH136" s="301"/>
      <c r="AI136" s="301"/>
      <c r="AJ136" s="301"/>
    </row>
    <row r="137" spans="1:36" x14ac:dyDescent="0.3">
      <c r="A137" s="301"/>
      <c r="B137" s="301"/>
      <c r="C137" s="301"/>
      <c r="E137" s="301"/>
      <c r="F137" s="301"/>
      <c r="G137" s="301"/>
      <c r="H137" s="301"/>
      <c r="I137" s="301"/>
      <c r="J137" s="301"/>
      <c r="K137" s="301"/>
      <c r="L137" s="301"/>
      <c r="N137" s="301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Z137" s="301"/>
      <c r="AA137" s="301"/>
      <c r="AB137" s="301"/>
      <c r="AC137" s="301"/>
      <c r="AD137" s="301"/>
      <c r="AE137" s="301"/>
      <c r="AF137" s="301"/>
      <c r="AG137" s="301"/>
      <c r="AH137" s="301"/>
      <c r="AI137" s="301"/>
      <c r="AJ137" s="301"/>
    </row>
    <row r="138" spans="1:36" x14ac:dyDescent="0.3">
      <c r="A138" s="301"/>
      <c r="B138" s="301"/>
      <c r="C138" s="301"/>
      <c r="E138" s="301"/>
      <c r="F138" s="301"/>
      <c r="G138" s="301"/>
      <c r="H138" s="301"/>
      <c r="I138" s="301"/>
      <c r="J138" s="301"/>
      <c r="K138" s="301"/>
      <c r="L138" s="301"/>
      <c r="N138" s="301"/>
      <c r="O138" s="301"/>
      <c r="P138" s="301"/>
      <c r="Q138" s="301"/>
      <c r="R138" s="301"/>
      <c r="S138" s="301"/>
      <c r="T138" s="301"/>
      <c r="U138" s="301"/>
      <c r="V138" s="301"/>
      <c r="W138" s="301"/>
      <c r="X138" s="301"/>
      <c r="Z138" s="301"/>
      <c r="AA138" s="301"/>
      <c r="AB138" s="301"/>
      <c r="AC138" s="301"/>
      <c r="AD138" s="301"/>
      <c r="AE138" s="301"/>
      <c r="AF138" s="301"/>
      <c r="AG138" s="301"/>
      <c r="AH138" s="301"/>
      <c r="AI138" s="301"/>
      <c r="AJ138" s="301"/>
    </row>
    <row r="139" spans="1:36" x14ac:dyDescent="0.3">
      <c r="A139" s="301"/>
      <c r="B139" s="301"/>
      <c r="C139" s="301"/>
      <c r="E139" s="301"/>
      <c r="F139" s="301"/>
      <c r="G139" s="301"/>
      <c r="H139" s="301"/>
      <c r="I139" s="301"/>
      <c r="J139" s="301"/>
      <c r="K139" s="301"/>
      <c r="L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Z139" s="301"/>
      <c r="AA139" s="301"/>
      <c r="AB139" s="301"/>
      <c r="AC139" s="301"/>
      <c r="AD139" s="301"/>
      <c r="AE139" s="301"/>
      <c r="AF139" s="301"/>
      <c r="AG139" s="301"/>
      <c r="AH139" s="301"/>
      <c r="AI139" s="301"/>
      <c r="AJ139" s="301"/>
    </row>
    <row r="140" spans="1:36" x14ac:dyDescent="0.3">
      <c r="A140" s="301"/>
      <c r="B140" s="301"/>
      <c r="C140" s="301"/>
      <c r="E140" s="301"/>
      <c r="F140" s="301"/>
      <c r="G140" s="301"/>
      <c r="H140" s="301"/>
      <c r="I140" s="301"/>
      <c r="J140" s="301"/>
      <c r="K140" s="301"/>
      <c r="L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Z140" s="301"/>
      <c r="AA140" s="301"/>
      <c r="AB140" s="301"/>
      <c r="AC140" s="301"/>
      <c r="AD140" s="301"/>
      <c r="AE140" s="301"/>
      <c r="AF140" s="301"/>
      <c r="AG140" s="301"/>
      <c r="AH140" s="301"/>
      <c r="AI140" s="301"/>
      <c r="AJ140" s="301"/>
    </row>
    <row r="141" spans="1:36" x14ac:dyDescent="0.3">
      <c r="A141" s="301"/>
      <c r="B141" s="301"/>
      <c r="C141" s="301"/>
      <c r="E141" s="301"/>
      <c r="F141" s="301"/>
      <c r="G141" s="301"/>
      <c r="H141" s="301"/>
      <c r="I141" s="301"/>
      <c r="J141" s="301"/>
      <c r="K141" s="301"/>
      <c r="L141" s="301"/>
      <c r="N141" s="301"/>
      <c r="O141" s="301"/>
      <c r="P141" s="301"/>
      <c r="Q141" s="301"/>
      <c r="R141" s="301"/>
      <c r="S141" s="301"/>
      <c r="T141" s="301"/>
      <c r="U141" s="301"/>
      <c r="V141" s="301"/>
      <c r="W141" s="301"/>
      <c r="X141" s="301"/>
      <c r="Z141" s="301"/>
      <c r="AA141" s="301"/>
      <c r="AB141" s="301"/>
      <c r="AC141" s="301"/>
      <c r="AD141" s="301"/>
      <c r="AE141" s="301"/>
      <c r="AF141" s="301"/>
      <c r="AG141" s="301"/>
      <c r="AH141" s="301"/>
      <c r="AI141" s="301"/>
      <c r="AJ141" s="301"/>
    </row>
    <row r="142" spans="1:36" x14ac:dyDescent="0.3">
      <c r="A142" s="301"/>
      <c r="B142" s="301"/>
      <c r="C142" s="301"/>
      <c r="E142" s="301"/>
      <c r="F142" s="301"/>
      <c r="G142" s="301"/>
      <c r="H142" s="301"/>
      <c r="I142" s="301"/>
      <c r="J142" s="301"/>
      <c r="K142" s="301"/>
      <c r="L142" s="301"/>
      <c r="N142" s="301"/>
      <c r="O142" s="301"/>
      <c r="P142" s="301"/>
      <c r="Q142" s="301"/>
      <c r="R142" s="301"/>
      <c r="S142" s="301"/>
      <c r="T142" s="301"/>
      <c r="U142" s="301"/>
      <c r="V142" s="301"/>
      <c r="W142" s="301"/>
      <c r="X142" s="301"/>
      <c r="Z142" s="301"/>
      <c r="AA142" s="301"/>
      <c r="AB142" s="301"/>
      <c r="AC142" s="301"/>
      <c r="AD142" s="301"/>
      <c r="AE142" s="301"/>
      <c r="AF142" s="301"/>
      <c r="AG142" s="301"/>
      <c r="AH142" s="301"/>
      <c r="AI142" s="301"/>
      <c r="AJ142" s="301"/>
    </row>
    <row r="143" spans="1:36" x14ac:dyDescent="0.3">
      <c r="A143" s="301"/>
      <c r="B143" s="301"/>
      <c r="C143" s="301"/>
      <c r="E143" s="301"/>
      <c r="F143" s="301"/>
      <c r="G143" s="301"/>
      <c r="H143" s="301"/>
      <c r="I143" s="301"/>
      <c r="J143" s="301"/>
      <c r="K143" s="301"/>
      <c r="L143" s="301"/>
      <c r="N143" s="301"/>
      <c r="O143" s="301"/>
      <c r="P143" s="301"/>
      <c r="Q143" s="301"/>
      <c r="R143" s="301"/>
      <c r="S143" s="301"/>
      <c r="T143" s="301"/>
      <c r="U143" s="301"/>
      <c r="V143" s="301"/>
      <c r="W143" s="301"/>
      <c r="X143" s="301"/>
      <c r="Z143" s="301"/>
      <c r="AA143" s="301"/>
      <c r="AB143" s="301"/>
      <c r="AC143" s="301"/>
      <c r="AD143" s="301"/>
      <c r="AE143" s="301"/>
      <c r="AF143" s="301"/>
      <c r="AG143" s="301"/>
      <c r="AH143" s="301"/>
      <c r="AI143" s="301"/>
      <c r="AJ143" s="301"/>
    </row>
    <row r="144" spans="1:36" x14ac:dyDescent="0.3">
      <c r="A144" s="301"/>
      <c r="B144" s="301"/>
      <c r="C144" s="301"/>
      <c r="E144" s="301"/>
      <c r="F144" s="301"/>
      <c r="G144" s="301"/>
      <c r="H144" s="301"/>
      <c r="I144" s="301"/>
      <c r="J144" s="301"/>
      <c r="K144" s="301"/>
      <c r="L144" s="301"/>
      <c r="N144" s="301"/>
      <c r="O144" s="301"/>
      <c r="P144" s="301"/>
      <c r="Q144" s="301"/>
      <c r="R144" s="301"/>
      <c r="S144" s="301"/>
      <c r="T144" s="301"/>
      <c r="U144" s="301"/>
      <c r="V144" s="301"/>
      <c r="W144" s="301"/>
      <c r="X144" s="301"/>
      <c r="Z144" s="301"/>
      <c r="AA144" s="301"/>
      <c r="AB144" s="301"/>
      <c r="AC144" s="301"/>
      <c r="AD144" s="301"/>
      <c r="AE144" s="301"/>
      <c r="AF144" s="301"/>
      <c r="AG144" s="301"/>
      <c r="AH144" s="301"/>
      <c r="AI144" s="301"/>
      <c r="AJ144" s="301"/>
    </row>
    <row r="145" spans="1:36" x14ac:dyDescent="0.3">
      <c r="A145" s="301"/>
      <c r="B145" s="301"/>
      <c r="C145" s="301"/>
      <c r="E145" s="301"/>
      <c r="F145" s="301"/>
      <c r="G145" s="301"/>
      <c r="H145" s="301"/>
      <c r="I145" s="301"/>
      <c r="J145" s="301"/>
      <c r="K145" s="301"/>
      <c r="L145" s="301"/>
      <c r="N145" s="301"/>
      <c r="O145" s="301"/>
      <c r="P145" s="301"/>
      <c r="Q145" s="301"/>
      <c r="R145" s="301"/>
      <c r="S145" s="301"/>
      <c r="T145" s="301"/>
      <c r="U145" s="301"/>
      <c r="V145" s="301"/>
      <c r="W145" s="301"/>
      <c r="X145" s="301"/>
      <c r="Z145" s="301"/>
      <c r="AA145" s="301"/>
      <c r="AB145" s="301"/>
      <c r="AC145" s="301"/>
      <c r="AD145" s="301"/>
      <c r="AE145" s="301"/>
      <c r="AF145" s="301"/>
      <c r="AG145" s="301"/>
      <c r="AH145" s="301"/>
      <c r="AI145" s="301"/>
      <c r="AJ145" s="301"/>
    </row>
    <row r="146" spans="1:36" x14ac:dyDescent="0.3">
      <c r="A146" s="301"/>
      <c r="B146" s="301"/>
      <c r="C146" s="301"/>
      <c r="E146" s="301"/>
      <c r="F146" s="301"/>
      <c r="G146" s="301"/>
      <c r="H146" s="301"/>
      <c r="I146" s="301"/>
      <c r="J146" s="301"/>
      <c r="K146" s="301"/>
      <c r="L146" s="301"/>
      <c r="N146" s="301"/>
      <c r="O146" s="301"/>
      <c r="P146" s="301"/>
      <c r="Q146" s="301"/>
      <c r="R146" s="301"/>
      <c r="S146" s="301"/>
      <c r="T146" s="301"/>
      <c r="U146" s="301"/>
      <c r="V146" s="301"/>
      <c r="W146" s="301"/>
      <c r="X146" s="301"/>
      <c r="Z146" s="301"/>
      <c r="AA146" s="301"/>
      <c r="AB146" s="301"/>
      <c r="AC146" s="301"/>
      <c r="AD146" s="301"/>
      <c r="AE146" s="301"/>
      <c r="AF146" s="301"/>
      <c r="AG146" s="301"/>
      <c r="AH146" s="301"/>
      <c r="AI146" s="301"/>
      <c r="AJ146" s="301"/>
    </row>
    <row r="147" spans="1:36" x14ac:dyDescent="0.3">
      <c r="A147" s="301"/>
      <c r="B147" s="301"/>
      <c r="C147" s="301"/>
      <c r="E147" s="301"/>
      <c r="F147" s="301"/>
      <c r="G147" s="301"/>
      <c r="H147" s="301"/>
      <c r="I147" s="301"/>
      <c r="J147" s="301"/>
      <c r="K147" s="301"/>
      <c r="L147" s="301"/>
      <c r="N147" s="301"/>
      <c r="O147" s="301"/>
      <c r="P147" s="301"/>
      <c r="Q147" s="301"/>
      <c r="R147" s="301"/>
      <c r="S147" s="301"/>
      <c r="T147" s="301"/>
      <c r="U147" s="301"/>
      <c r="V147" s="301"/>
      <c r="W147" s="301"/>
      <c r="X147" s="301"/>
      <c r="Z147" s="301"/>
      <c r="AA147" s="301"/>
      <c r="AB147" s="301"/>
      <c r="AC147" s="301"/>
      <c r="AD147" s="301"/>
      <c r="AE147" s="301"/>
      <c r="AF147" s="301"/>
      <c r="AG147" s="301"/>
      <c r="AH147" s="301"/>
      <c r="AI147" s="301"/>
      <c r="AJ147" s="301"/>
    </row>
    <row r="148" spans="1:36" x14ac:dyDescent="0.3">
      <c r="A148" s="301"/>
      <c r="B148" s="301"/>
      <c r="C148" s="301"/>
      <c r="E148" s="301"/>
      <c r="F148" s="301"/>
      <c r="G148" s="301"/>
      <c r="H148" s="301"/>
      <c r="I148" s="301"/>
      <c r="J148" s="301"/>
      <c r="K148" s="301"/>
      <c r="L148" s="301"/>
      <c r="N148" s="301"/>
      <c r="O148" s="301"/>
      <c r="P148" s="301"/>
      <c r="Q148" s="301"/>
      <c r="R148" s="301"/>
      <c r="S148" s="301"/>
      <c r="T148" s="301"/>
      <c r="U148" s="301"/>
      <c r="V148" s="301"/>
      <c r="W148" s="301"/>
      <c r="X148" s="301"/>
      <c r="Z148" s="301"/>
      <c r="AA148" s="301"/>
      <c r="AB148" s="301"/>
      <c r="AC148" s="301"/>
      <c r="AD148" s="301"/>
      <c r="AE148" s="301"/>
      <c r="AF148" s="301"/>
      <c r="AG148" s="301"/>
      <c r="AH148" s="301"/>
      <c r="AI148" s="301"/>
      <c r="AJ148" s="301"/>
    </row>
    <row r="149" spans="1:36" x14ac:dyDescent="0.3">
      <c r="A149" s="301"/>
      <c r="B149" s="301"/>
      <c r="C149" s="301"/>
      <c r="E149" s="301"/>
      <c r="F149" s="301"/>
      <c r="G149" s="301"/>
      <c r="H149" s="301"/>
      <c r="I149" s="301"/>
      <c r="J149" s="301"/>
      <c r="K149" s="301"/>
      <c r="L149" s="301"/>
      <c r="N149" s="301"/>
      <c r="O149" s="301"/>
      <c r="P149" s="301"/>
      <c r="Q149" s="301"/>
      <c r="R149" s="301"/>
      <c r="S149" s="301"/>
      <c r="T149" s="301"/>
      <c r="U149" s="301"/>
      <c r="V149" s="301"/>
      <c r="W149" s="301"/>
      <c r="X149" s="301"/>
      <c r="Z149" s="301"/>
      <c r="AA149" s="301"/>
      <c r="AB149" s="301"/>
      <c r="AC149" s="301"/>
      <c r="AD149" s="301"/>
      <c r="AE149" s="301"/>
      <c r="AF149" s="301"/>
      <c r="AG149" s="301"/>
      <c r="AH149" s="301"/>
      <c r="AI149" s="301"/>
      <c r="AJ149" s="301"/>
    </row>
    <row r="150" spans="1:36" x14ac:dyDescent="0.3">
      <c r="A150" s="301"/>
      <c r="B150" s="301"/>
      <c r="C150" s="301"/>
      <c r="E150" s="301"/>
      <c r="F150" s="301"/>
      <c r="G150" s="301"/>
      <c r="H150" s="301"/>
      <c r="I150" s="301"/>
      <c r="J150" s="301"/>
      <c r="K150" s="301"/>
      <c r="L150" s="301"/>
      <c r="N150" s="301"/>
      <c r="O150" s="301"/>
      <c r="P150" s="301"/>
      <c r="Q150" s="301"/>
      <c r="R150" s="301"/>
      <c r="S150" s="301"/>
      <c r="T150" s="301"/>
      <c r="U150" s="301"/>
      <c r="V150" s="301"/>
      <c r="W150" s="301"/>
      <c r="X150" s="301"/>
      <c r="Z150" s="301"/>
      <c r="AA150" s="301"/>
      <c r="AB150" s="301"/>
      <c r="AC150" s="301"/>
      <c r="AD150" s="301"/>
      <c r="AE150" s="301"/>
      <c r="AF150" s="301"/>
      <c r="AG150" s="301"/>
      <c r="AH150" s="301"/>
      <c r="AI150" s="301"/>
      <c r="AJ150" s="301"/>
    </row>
    <row r="151" spans="1:36" x14ac:dyDescent="0.3">
      <c r="A151" s="301"/>
      <c r="B151" s="301"/>
      <c r="C151" s="301"/>
      <c r="E151" s="301"/>
      <c r="F151" s="301"/>
      <c r="G151" s="301"/>
      <c r="H151" s="301"/>
      <c r="I151" s="301"/>
      <c r="J151" s="301"/>
      <c r="K151" s="301"/>
      <c r="L151" s="301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Z151" s="301"/>
      <c r="AA151" s="301"/>
      <c r="AB151" s="301"/>
      <c r="AC151" s="301"/>
      <c r="AD151" s="301"/>
      <c r="AE151" s="301"/>
      <c r="AF151" s="301"/>
      <c r="AG151" s="301"/>
      <c r="AH151" s="301"/>
      <c r="AI151" s="301"/>
      <c r="AJ151" s="301"/>
    </row>
    <row r="152" spans="1:36" x14ac:dyDescent="0.3">
      <c r="A152" s="301"/>
      <c r="B152" s="301"/>
      <c r="C152" s="301"/>
      <c r="E152" s="301"/>
      <c r="F152" s="301"/>
      <c r="G152" s="301"/>
      <c r="H152" s="301"/>
      <c r="I152" s="301"/>
      <c r="J152" s="301"/>
      <c r="K152" s="301"/>
      <c r="L152" s="301"/>
      <c r="N152" s="301"/>
      <c r="O152" s="301"/>
      <c r="P152" s="301"/>
      <c r="Q152" s="301"/>
      <c r="R152" s="301"/>
      <c r="S152" s="301"/>
      <c r="T152" s="301"/>
      <c r="U152" s="301"/>
      <c r="V152" s="301"/>
      <c r="W152" s="301"/>
      <c r="X152" s="301"/>
      <c r="Z152" s="301"/>
      <c r="AA152" s="301"/>
      <c r="AB152" s="301"/>
      <c r="AC152" s="301"/>
      <c r="AD152" s="301"/>
      <c r="AE152" s="301"/>
      <c r="AF152" s="301"/>
      <c r="AG152" s="301"/>
      <c r="AH152" s="301"/>
      <c r="AI152" s="301"/>
      <c r="AJ152" s="301"/>
    </row>
    <row r="153" spans="1:36" x14ac:dyDescent="0.3">
      <c r="A153" s="301"/>
      <c r="B153" s="301"/>
      <c r="C153" s="301"/>
      <c r="E153" s="301"/>
      <c r="F153" s="301"/>
      <c r="G153" s="301"/>
      <c r="H153" s="301"/>
      <c r="I153" s="301"/>
      <c r="J153" s="301"/>
      <c r="K153" s="301"/>
      <c r="L153" s="301"/>
      <c r="N153" s="301"/>
      <c r="O153" s="301"/>
      <c r="P153" s="301"/>
      <c r="Q153" s="301"/>
      <c r="R153" s="301"/>
      <c r="S153" s="301"/>
      <c r="T153" s="301"/>
      <c r="U153" s="301"/>
      <c r="V153" s="301"/>
      <c r="W153" s="301"/>
      <c r="X153" s="301"/>
      <c r="Z153" s="301"/>
      <c r="AA153" s="301"/>
      <c r="AB153" s="301"/>
      <c r="AC153" s="301"/>
      <c r="AD153" s="301"/>
      <c r="AE153" s="301"/>
      <c r="AF153" s="301"/>
      <c r="AG153" s="301"/>
      <c r="AH153" s="301"/>
      <c r="AI153" s="301"/>
      <c r="AJ153" s="301"/>
    </row>
    <row r="154" spans="1:36" x14ac:dyDescent="0.3">
      <c r="A154" s="301"/>
      <c r="B154" s="301"/>
      <c r="C154" s="301"/>
      <c r="E154" s="301"/>
      <c r="F154" s="301"/>
      <c r="G154" s="301"/>
      <c r="H154" s="301"/>
      <c r="I154" s="301"/>
      <c r="J154" s="301"/>
      <c r="K154" s="301"/>
      <c r="L154" s="301"/>
      <c r="N154" s="301"/>
      <c r="O154" s="301"/>
      <c r="P154" s="301"/>
      <c r="Q154" s="301"/>
      <c r="R154" s="301"/>
      <c r="S154" s="301"/>
      <c r="T154" s="301"/>
      <c r="U154" s="301"/>
      <c r="V154" s="301"/>
      <c r="W154" s="301"/>
      <c r="X154" s="301"/>
      <c r="Z154" s="301"/>
      <c r="AA154" s="301"/>
      <c r="AB154" s="301"/>
      <c r="AC154" s="301"/>
      <c r="AD154" s="301"/>
      <c r="AE154" s="301"/>
      <c r="AF154" s="301"/>
      <c r="AG154" s="301"/>
      <c r="AH154" s="301"/>
      <c r="AI154" s="301"/>
      <c r="AJ154" s="301"/>
    </row>
    <row r="155" spans="1:36" x14ac:dyDescent="0.3">
      <c r="A155" s="301"/>
      <c r="B155" s="301"/>
      <c r="C155" s="301"/>
      <c r="E155" s="301"/>
      <c r="F155" s="301"/>
      <c r="G155" s="301"/>
      <c r="H155" s="301"/>
      <c r="I155" s="301"/>
      <c r="J155" s="301"/>
      <c r="K155" s="301"/>
      <c r="L155" s="301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Z155" s="301"/>
      <c r="AA155" s="301"/>
      <c r="AB155" s="301"/>
      <c r="AC155" s="301"/>
      <c r="AD155" s="301"/>
      <c r="AE155" s="301"/>
      <c r="AF155" s="301"/>
      <c r="AG155" s="301"/>
      <c r="AH155" s="301"/>
      <c r="AI155" s="301"/>
      <c r="AJ155" s="301"/>
    </row>
    <row r="156" spans="1:36" x14ac:dyDescent="0.3">
      <c r="A156" s="301"/>
      <c r="B156" s="301"/>
      <c r="C156" s="301"/>
      <c r="E156" s="301"/>
      <c r="F156" s="301"/>
      <c r="G156" s="301"/>
      <c r="H156" s="301"/>
      <c r="I156" s="301"/>
      <c r="J156" s="301"/>
      <c r="K156" s="301"/>
      <c r="L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1"/>
      <c r="Z156" s="301"/>
      <c r="AA156" s="301"/>
      <c r="AB156" s="301"/>
      <c r="AC156" s="301"/>
      <c r="AD156" s="301"/>
      <c r="AE156" s="301"/>
      <c r="AF156" s="301"/>
      <c r="AG156" s="301"/>
      <c r="AH156" s="301"/>
      <c r="AI156" s="301"/>
      <c r="AJ156" s="301"/>
    </row>
    <row r="157" spans="1:36" x14ac:dyDescent="0.3">
      <c r="A157" s="301"/>
      <c r="B157" s="301"/>
      <c r="C157" s="301"/>
      <c r="E157" s="301"/>
      <c r="F157" s="301"/>
      <c r="G157" s="301"/>
      <c r="H157" s="301"/>
      <c r="I157" s="301"/>
      <c r="J157" s="301"/>
      <c r="K157" s="301"/>
      <c r="L157" s="301"/>
      <c r="N157" s="301"/>
      <c r="O157" s="301"/>
      <c r="P157" s="301"/>
      <c r="Q157" s="301"/>
      <c r="R157" s="301"/>
      <c r="S157" s="301"/>
      <c r="T157" s="301"/>
      <c r="U157" s="301"/>
      <c r="V157" s="301"/>
      <c r="W157" s="301"/>
      <c r="X157" s="301"/>
      <c r="Z157" s="301"/>
      <c r="AA157" s="301"/>
      <c r="AB157" s="301"/>
      <c r="AC157" s="301"/>
      <c r="AD157" s="301"/>
      <c r="AE157" s="301"/>
      <c r="AF157" s="301"/>
      <c r="AG157" s="301"/>
      <c r="AH157" s="301"/>
      <c r="AI157" s="301"/>
      <c r="AJ157" s="301"/>
    </row>
    <row r="158" spans="1:36" x14ac:dyDescent="0.3">
      <c r="A158" s="301"/>
      <c r="B158" s="301"/>
      <c r="C158" s="301"/>
      <c r="E158" s="301"/>
      <c r="F158" s="301"/>
      <c r="G158" s="301"/>
      <c r="H158" s="301"/>
      <c r="I158" s="301"/>
      <c r="J158" s="301"/>
      <c r="K158" s="301"/>
      <c r="L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Z158" s="301"/>
      <c r="AA158" s="301"/>
      <c r="AB158" s="301"/>
      <c r="AC158" s="301"/>
      <c r="AD158" s="301"/>
      <c r="AE158" s="301"/>
      <c r="AF158" s="301"/>
      <c r="AG158" s="301"/>
      <c r="AH158" s="301"/>
      <c r="AI158" s="301"/>
      <c r="AJ158" s="301"/>
    </row>
    <row r="159" spans="1:36" x14ac:dyDescent="0.3">
      <c r="A159" s="301"/>
      <c r="B159" s="301"/>
      <c r="C159" s="301"/>
      <c r="E159" s="301"/>
      <c r="F159" s="301"/>
      <c r="G159" s="301"/>
      <c r="H159" s="301"/>
      <c r="I159" s="301"/>
      <c r="J159" s="301"/>
      <c r="K159" s="301"/>
      <c r="L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Z159" s="301"/>
      <c r="AA159" s="301"/>
      <c r="AB159" s="301"/>
      <c r="AC159" s="301"/>
      <c r="AD159" s="301"/>
      <c r="AE159" s="301"/>
      <c r="AF159" s="301"/>
      <c r="AG159" s="301"/>
      <c r="AH159" s="301"/>
      <c r="AI159" s="301"/>
      <c r="AJ159" s="301"/>
    </row>
    <row r="160" spans="1:36" x14ac:dyDescent="0.3">
      <c r="A160" s="301"/>
      <c r="B160" s="301"/>
      <c r="C160" s="301"/>
      <c r="E160" s="301"/>
      <c r="F160" s="301"/>
      <c r="G160" s="301"/>
      <c r="H160" s="301"/>
      <c r="I160" s="301"/>
      <c r="J160" s="301"/>
      <c r="K160" s="301"/>
      <c r="L160" s="301"/>
      <c r="N160" s="301"/>
      <c r="O160" s="301"/>
      <c r="P160" s="301"/>
      <c r="Q160" s="301"/>
      <c r="R160" s="301"/>
      <c r="S160" s="301"/>
      <c r="T160" s="301"/>
      <c r="U160" s="301"/>
      <c r="V160" s="301"/>
      <c r="W160" s="301"/>
      <c r="X160" s="301"/>
      <c r="Z160" s="301"/>
      <c r="AA160" s="301"/>
      <c r="AB160" s="301"/>
      <c r="AC160" s="301"/>
      <c r="AD160" s="301"/>
      <c r="AE160" s="301"/>
      <c r="AF160" s="301"/>
      <c r="AG160" s="301"/>
      <c r="AH160" s="301"/>
      <c r="AI160" s="301"/>
      <c r="AJ160" s="301"/>
    </row>
    <row r="161" spans="1:36" x14ac:dyDescent="0.3">
      <c r="A161" s="301"/>
      <c r="B161" s="301"/>
      <c r="C161" s="301"/>
      <c r="E161" s="301"/>
      <c r="F161" s="301"/>
      <c r="G161" s="301"/>
      <c r="H161" s="301"/>
      <c r="I161" s="301"/>
      <c r="J161" s="301"/>
      <c r="K161" s="301"/>
      <c r="L161" s="301"/>
      <c r="N161" s="301"/>
      <c r="O161" s="301"/>
      <c r="P161" s="301"/>
      <c r="Q161" s="301"/>
      <c r="R161" s="301"/>
      <c r="S161" s="301"/>
      <c r="T161" s="301"/>
      <c r="U161" s="301"/>
      <c r="V161" s="301"/>
      <c r="W161" s="301"/>
      <c r="X161" s="301"/>
      <c r="Z161" s="301"/>
      <c r="AA161" s="301"/>
      <c r="AB161" s="301"/>
      <c r="AC161" s="301"/>
      <c r="AD161" s="301"/>
      <c r="AE161" s="301"/>
      <c r="AF161" s="301"/>
      <c r="AG161" s="301"/>
      <c r="AH161" s="301"/>
      <c r="AI161" s="301"/>
      <c r="AJ161" s="301"/>
    </row>
    <row r="162" spans="1:36" x14ac:dyDescent="0.3">
      <c r="A162" s="301"/>
      <c r="B162" s="301"/>
      <c r="C162" s="301"/>
      <c r="E162" s="301"/>
      <c r="F162" s="301"/>
      <c r="G162" s="301"/>
      <c r="H162" s="301"/>
      <c r="I162" s="301"/>
      <c r="J162" s="301"/>
      <c r="K162" s="301"/>
      <c r="L162" s="301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Z162" s="301"/>
      <c r="AA162" s="301"/>
      <c r="AB162" s="301"/>
      <c r="AC162" s="301"/>
      <c r="AD162" s="301"/>
      <c r="AE162" s="301"/>
      <c r="AF162" s="301"/>
      <c r="AG162" s="301"/>
      <c r="AH162" s="301"/>
      <c r="AI162" s="301"/>
      <c r="AJ162" s="301"/>
    </row>
    <row r="163" spans="1:36" x14ac:dyDescent="0.3">
      <c r="A163" s="301"/>
      <c r="B163" s="301"/>
      <c r="C163" s="301"/>
      <c r="E163" s="301"/>
      <c r="F163" s="301"/>
      <c r="G163" s="301"/>
      <c r="H163" s="301"/>
      <c r="I163" s="301"/>
      <c r="J163" s="301"/>
      <c r="K163" s="301"/>
      <c r="L163" s="301"/>
      <c r="N163" s="301"/>
      <c r="O163" s="301"/>
      <c r="P163" s="301"/>
      <c r="Q163" s="301"/>
      <c r="R163" s="301"/>
      <c r="S163" s="301"/>
      <c r="T163" s="301"/>
      <c r="U163" s="301"/>
      <c r="V163" s="301"/>
      <c r="W163" s="301"/>
      <c r="X163" s="301"/>
      <c r="Z163" s="301"/>
      <c r="AA163" s="301"/>
      <c r="AB163" s="301"/>
      <c r="AC163" s="301"/>
      <c r="AD163" s="301"/>
      <c r="AE163" s="301"/>
      <c r="AF163" s="301"/>
      <c r="AG163" s="301"/>
      <c r="AH163" s="301"/>
      <c r="AI163" s="301"/>
      <c r="AJ163" s="301"/>
    </row>
    <row r="164" spans="1:36" x14ac:dyDescent="0.3">
      <c r="A164" s="301"/>
      <c r="B164" s="301"/>
      <c r="C164" s="301"/>
      <c r="E164" s="301"/>
      <c r="F164" s="301"/>
      <c r="G164" s="301"/>
      <c r="H164" s="301"/>
      <c r="I164" s="301"/>
      <c r="J164" s="301"/>
      <c r="K164" s="301"/>
      <c r="L164" s="301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Z164" s="301"/>
      <c r="AA164" s="301"/>
      <c r="AB164" s="301"/>
      <c r="AC164" s="301"/>
      <c r="AD164" s="301"/>
      <c r="AE164" s="301"/>
      <c r="AF164" s="301"/>
      <c r="AG164" s="301"/>
      <c r="AH164" s="301"/>
      <c r="AI164" s="301"/>
      <c r="AJ164" s="301"/>
    </row>
    <row r="165" spans="1:36" x14ac:dyDescent="0.3">
      <c r="A165" s="301"/>
      <c r="B165" s="301"/>
      <c r="C165" s="301"/>
      <c r="E165" s="301"/>
      <c r="F165" s="301"/>
      <c r="G165" s="301"/>
      <c r="H165" s="301"/>
      <c r="I165" s="301"/>
      <c r="J165" s="301"/>
      <c r="K165" s="301"/>
      <c r="L165" s="301"/>
      <c r="N165" s="301"/>
      <c r="O165" s="301"/>
      <c r="P165" s="301"/>
      <c r="Q165" s="301"/>
      <c r="R165" s="301"/>
      <c r="S165" s="301"/>
      <c r="T165" s="301"/>
      <c r="U165" s="301"/>
      <c r="V165" s="301"/>
      <c r="W165" s="301"/>
      <c r="X165" s="301"/>
      <c r="Z165" s="301"/>
      <c r="AA165" s="301"/>
      <c r="AB165" s="301"/>
      <c r="AC165" s="301"/>
      <c r="AD165" s="301"/>
      <c r="AE165" s="301"/>
      <c r="AF165" s="301"/>
      <c r="AG165" s="301"/>
      <c r="AH165" s="301"/>
      <c r="AI165" s="301"/>
      <c r="AJ165" s="301"/>
    </row>
    <row r="166" spans="1:36" x14ac:dyDescent="0.3">
      <c r="A166" s="301"/>
      <c r="B166" s="301"/>
      <c r="C166" s="301"/>
      <c r="E166" s="301"/>
      <c r="F166" s="301"/>
      <c r="G166" s="301"/>
      <c r="H166" s="301"/>
      <c r="I166" s="301"/>
      <c r="J166" s="301"/>
      <c r="K166" s="301"/>
      <c r="L166" s="301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Z166" s="301"/>
      <c r="AA166" s="301"/>
      <c r="AB166" s="301"/>
      <c r="AC166" s="301"/>
      <c r="AD166" s="301"/>
      <c r="AE166" s="301"/>
      <c r="AF166" s="301"/>
      <c r="AG166" s="301"/>
      <c r="AH166" s="301"/>
      <c r="AI166" s="301"/>
      <c r="AJ166" s="301"/>
    </row>
    <row r="167" spans="1:36" x14ac:dyDescent="0.3">
      <c r="A167" s="301"/>
      <c r="B167" s="301"/>
      <c r="C167" s="301"/>
      <c r="E167" s="301"/>
      <c r="F167" s="301"/>
      <c r="G167" s="301"/>
      <c r="H167" s="301"/>
      <c r="I167" s="301"/>
      <c r="J167" s="301"/>
      <c r="K167" s="301"/>
      <c r="L167" s="301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Z167" s="301"/>
      <c r="AA167" s="301"/>
      <c r="AB167" s="301"/>
      <c r="AC167" s="301"/>
      <c r="AD167" s="301"/>
      <c r="AE167" s="301"/>
      <c r="AF167" s="301"/>
      <c r="AG167" s="301"/>
      <c r="AH167" s="301"/>
      <c r="AI167" s="301"/>
      <c r="AJ167" s="301"/>
    </row>
    <row r="168" spans="1:36" x14ac:dyDescent="0.3">
      <c r="A168" s="301"/>
      <c r="B168" s="301"/>
      <c r="C168" s="301"/>
      <c r="E168" s="301"/>
      <c r="F168" s="301"/>
      <c r="G168" s="301"/>
      <c r="H168" s="301"/>
      <c r="I168" s="301"/>
      <c r="J168" s="301"/>
      <c r="K168" s="301"/>
      <c r="L168" s="301"/>
      <c r="N168" s="301"/>
      <c r="O168" s="301"/>
      <c r="P168" s="301"/>
      <c r="Q168" s="301"/>
      <c r="R168" s="301"/>
      <c r="S168" s="301"/>
      <c r="T168" s="301"/>
      <c r="U168" s="301"/>
      <c r="V168" s="301"/>
      <c r="W168" s="301"/>
      <c r="X168" s="301"/>
      <c r="Z168" s="301"/>
      <c r="AA168" s="301"/>
      <c r="AB168" s="301"/>
      <c r="AC168" s="301"/>
      <c r="AD168" s="301"/>
      <c r="AE168" s="301"/>
      <c r="AF168" s="301"/>
      <c r="AG168" s="301"/>
      <c r="AH168" s="301"/>
      <c r="AI168" s="301"/>
      <c r="AJ168" s="301"/>
    </row>
    <row r="169" spans="1:36" x14ac:dyDescent="0.3">
      <c r="A169" s="301"/>
      <c r="B169" s="301"/>
      <c r="C169" s="301"/>
      <c r="E169" s="301"/>
      <c r="F169" s="301"/>
      <c r="G169" s="301"/>
      <c r="H169" s="301"/>
      <c r="I169" s="301"/>
      <c r="J169" s="301"/>
      <c r="K169" s="301"/>
      <c r="L169" s="301"/>
      <c r="N169" s="301"/>
      <c r="O169" s="301"/>
      <c r="P169" s="301"/>
      <c r="Q169" s="301"/>
      <c r="R169" s="301"/>
      <c r="S169" s="301"/>
      <c r="T169" s="301"/>
      <c r="U169" s="301"/>
      <c r="V169" s="301"/>
      <c r="W169" s="301"/>
      <c r="X169" s="301"/>
      <c r="Z169" s="301"/>
      <c r="AA169" s="301"/>
      <c r="AB169" s="301"/>
      <c r="AC169" s="301"/>
      <c r="AD169" s="301"/>
      <c r="AE169" s="301"/>
      <c r="AF169" s="301"/>
      <c r="AG169" s="301"/>
      <c r="AH169" s="301"/>
      <c r="AI169" s="301"/>
      <c r="AJ169" s="301"/>
    </row>
    <row r="170" spans="1:36" x14ac:dyDescent="0.3">
      <c r="A170" s="301"/>
      <c r="B170" s="301"/>
      <c r="C170" s="301"/>
      <c r="E170" s="301"/>
      <c r="F170" s="301"/>
      <c r="G170" s="301"/>
      <c r="H170" s="301"/>
      <c r="I170" s="301"/>
      <c r="J170" s="301"/>
      <c r="K170" s="301"/>
      <c r="L170" s="301"/>
      <c r="N170" s="301"/>
      <c r="O170" s="301"/>
      <c r="P170" s="301"/>
      <c r="Q170" s="301"/>
      <c r="R170" s="301"/>
      <c r="S170" s="301"/>
      <c r="T170" s="301"/>
      <c r="U170" s="301"/>
      <c r="V170" s="301"/>
      <c r="W170" s="301"/>
      <c r="X170" s="301"/>
      <c r="Z170" s="301"/>
      <c r="AA170" s="301"/>
      <c r="AB170" s="301"/>
      <c r="AC170" s="301"/>
      <c r="AD170" s="301"/>
      <c r="AE170" s="301"/>
      <c r="AF170" s="301"/>
      <c r="AG170" s="301"/>
      <c r="AH170" s="301"/>
      <c r="AI170" s="301"/>
      <c r="AJ170" s="301"/>
    </row>
    <row r="171" spans="1:36" x14ac:dyDescent="0.3">
      <c r="A171" s="301"/>
      <c r="B171" s="301"/>
      <c r="C171" s="301"/>
      <c r="E171" s="301"/>
      <c r="F171" s="301"/>
      <c r="G171" s="301"/>
      <c r="H171" s="301"/>
      <c r="I171" s="301"/>
      <c r="J171" s="301"/>
      <c r="K171" s="301"/>
      <c r="L171" s="301"/>
      <c r="N171" s="301"/>
      <c r="O171" s="301"/>
      <c r="P171" s="301"/>
      <c r="Q171" s="301"/>
      <c r="R171" s="301"/>
      <c r="S171" s="301"/>
      <c r="T171" s="301"/>
      <c r="U171" s="301"/>
      <c r="V171" s="301"/>
      <c r="W171" s="301"/>
      <c r="X171" s="301"/>
      <c r="Z171" s="301"/>
      <c r="AA171" s="301"/>
      <c r="AB171" s="301"/>
      <c r="AC171" s="301"/>
      <c r="AD171" s="301"/>
      <c r="AE171" s="301"/>
      <c r="AF171" s="301"/>
      <c r="AG171" s="301"/>
      <c r="AH171" s="301"/>
      <c r="AI171" s="301"/>
      <c r="AJ171" s="301"/>
    </row>
    <row r="172" spans="1:36" x14ac:dyDescent="0.3">
      <c r="A172" s="301"/>
      <c r="B172" s="301"/>
      <c r="C172" s="301"/>
      <c r="E172" s="301"/>
      <c r="F172" s="301"/>
      <c r="G172" s="301"/>
      <c r="H172" s="301"/>
      <c r="I172" s="301"/>
      <c r="J172" s="301"/>
      <c r="K172" s="301"/>
      <c r="L172" s="301"/>
      <c r="N172" s="301"/>
      <c r="O172" s="301"/>
      <c r="P172" s="301"/>
      <c r="Q172" s="301"/>
      <c r="R172" s="301"/>
      <c r="S172" s="301"/>
      <c r="T172" s="301"/>
      <c r="U172" s="301"/>
      <c r="V172" s="301"/>
      <c r="W172" s="301"/>
      <c r="X172" s="301"/>
      <c r="Z172" s="301"/>
      <c r="AA172" s="301"/>
      <c r="AB172" s="301"/>
      <c r="AC172" s="301"/>
      <c r="AD172" s="301"/>
      <c r="AE172" s="301"/>
      <c r="AF172" s="301"/>
      <c r="AG172" s="301"/>
      <c r="AH172" s="301"/>
      <c r="AI172" s="301"/>
      <c r="AJ172" s="301"/>
    </row>
    <row r="173" spans="1:36" x14ac:dyDescent="0.3">
      <c r="A173" s="301"/>
      <c r="B173" s="301"/>
      <c r="C173" s="301"/>
      <c r="E173" s="301"/>
      <c r="F173" s="301"/>
      <c r="G173" s="301"/>
      <c r="H173" s="301"/>
      <c r="I173" s="301"/>
      <c r="J173" s="301"/>
      <c r="K173" s="301"/>
      <c r="L173" s="301"/>
      <c r="N173" s="301"/>
      <c r="O173" s="301"/>
      <c r="P173" s="301"/>
      <c r="Q173" s="301"/>
      <c r="R173" s="301"/>
      <c r="S173" s="301"/>
      <c r="T173" s="301"/>
      <c r="U173" s="301"/>
      <c r="V173" s="301"/>
      <c r="W173" s="301"/>
      <c r="X173" s="301"/>
      <c r="Z173" s="301"/>
      <c r="AA173" s="301"/>
      <c r="AB173" s="301"/>
      <c r="AC173" s="301"/>
      <c r="AD173" s="301"/>
      <c r="AE173" s="301"/>
      <c r="AF173" s="301"/>
      <c r="AG173" s="301"/>
      <c r="AH173" s="301"/>
      <c r="AI173" s="301"/>
      <c r="AJ173" s="301"/>
    </row>
    <row r="174" spans="1:36" x14ac:dyDescent="0.3">
      <c r="A174" s="301"/>
      <c r="B174" s="301"/>
      <c r="C174" s="301"/>
      <c r="E174" s="301"/>
      <c r="F174" s="301"/>
      <c r="G174" s="301"/>
      <c r="H174" s="301"/>
      <c r="I174" s="301"/>
      <c r="J174" s="301"/>
      <c r="K174" s="301"/>
      <c r="L174" s="301"/>
      <c r="N174" s="301"/>
      <c r="O174" s="301"/>
      <c r="P174" s="301"/>
      <c r="Q174" s="301"/>
      <c r="R174" s="301"/>
      <c r="S174" s="301"/>
      <c r="T174" s="301"/>
      <c r="U174" s="301"/>
      <c r="V174" s="301"/>
      <c r="W174" s="301"/>
      <c r="X174" s="301"/>
      <c r="Z174" s="301"/>
      <c r="AA174" s="301"/>
      <c r="AB174" s="301"/>
      <c r="AC174" s="301"/>
      <c r="AD174" s="301"/>
      <c r="AE174" s="301"/>
      <c r="AF174" s="301"/>
      <c r="AG174" s="301"/>
      <c r="AH174" s="301"/>
      <c r="AI174" s="301"/>
      <c r="AJ174" s="301"/>
    </row>
    <row r="175" spans="1:36" x14ac:dyDescent="0.3">
      <c r="A175" s="301"/>
      <c r="B175" s="301"/>
      <c r="C175" s="301"/>
      <c r="E175" s="301"/>
      <c r="F175" s="301"/>
      <c r="G175" s="301"/>
      <c r="H175" s="301"/>
      <c r="I175" s="301"/>
      <c r="J175" s="301"/>
      <c r="K175" s="301"/>
      <c r="L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Z175" s="301"/>
      <c r="AA175" s="301"/>
      <c r="AB175" s="301"/>
      <c r="AC175" s="301"/>
      <c r="AD175" s="301"/>
      <c r="AE175" s="301"/>
      <c r="AF175" s="301"/>
      <c r="AG175" s="301"/>
      <c r="AH175" s="301"/>
      <c r="AI175" s="301"/>
      <c r="AJ175" s="301"/>
    </row>
    <row r="176" spans="1:36" x14ac:dyDescent="0.3">
      <c r="A176" s="301"/>
      <c r="B176" s="301"/>
      <c r="C176" s="301"/>
      <c r="E176" s="301"/>
      <c r="F176" s="301"/>
      <c r="G176" s="301"/>
      <c r="H176" s="301"/>
      <c r="I176" s="301"/>
      <c r="J176" s="301"/>
      <c r="K176" s="301"/>
      <c r="L176" s="301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1"/>
      <c r="Z176" s="301"/>
      <c r="AA176" s="301"/>
      <c r="AB176" s="301"/>
      <c r="AC176" s="301"/>
      <c r="AD176" s="301"/>
      <c r="AE176" s="301"/>
      <c r="AF176" s="301"/>
      <c r="AG176" s="301"/>
      <c r="AH176" s="301"/>
      <c r="AI176" s="301"/>
      <c r="AJ176" s="301"/>
    </row>
    <row r="177" spans="1:36" x14ac:dyDescent="0.3">
      <c r="A177" s="301"/>
      <c r="B177" s="301"/>
      <c r="C177" s="301"/>
      <c r="E177" s="301"/>
      <c r="F177" s="301"/>
      <c r="G177" s="301"/>
      <c r="H177" s="301"/>
      <c r="I177" s="301"/>
      <c r="J177" s="301"/>
      <c r="K177" s="301"/>
      <c r="L177" s="301"/>
      <c r="N177" s="301"/>
      <c r="O177" s="301"/>
      <c r="P177" s="301"/>
      <c r="Q177" s="301"/>
      <c r="R177" s="301"/>
      <c r="S177" s="301"/>
      <c r="T177" s="301"/>
      <c r="U177" s="301"/>
      <c r="V177" s="301"/>
      <c r="W177" s="301"/>
      <c r="X177" s="301"/>
      <c r="Z177" s="301"/>
      <c r="AA177" s="301"/>
      <c r="AB177" s="301"/>
      <c r="AC177" s="301"/>
      <c r="AD177" s="301"/>
      <c r="AE177" s="301"/>
      <c r="AF177" s="301"/>
      <c r="AG177" s="301"/>
      <c r="AH177" s="301"/>
      <c r="AI177" s="301"/>
      <c r="AJ177" s="301"/>
    </row>
    <row r="178" spans="1:36" x14ac:dyDescent="0.3">
      <c r="A178" s="301"/>
      <c r="B178" s="301"/>
      <c r="C178" s="301"/>
      <c r="E178" s="301"/>
      <c r="F178" s="301"/>
      <c r="G178" s="301"/>
      <c r="H178" s="301"/>
      <c r="I178" s="301"/>
      <c r="J178" s="301"/>
      <c r="K178" s="301"/>
      <c r="L178" s="301"/>
      <c r="N178" s="301"/>
      <c r="O178" s="301"/>
      <c r="P178" s="301"/>
      <c r="Q178" s="301"/>
      <c r="R178" s="301"/>
      <c r="S178" s="301"/>
      <c r="T178" s="301"/>
      <c r="U178" s="301"/>
      <c r="V178" s="301"/>
      <c r="W178" s="301"/>
      <c r="X178" s="301"/>
      <c r="Z178" s="301"/>
      <c r="AA178" s="301"/>
      <c r="AB178" s="301"/>
      <c r="AC178" s="301"/>
      <c r="AD178" s="301"/>
      <c r="AE178" s="301"/>
      <c r="AF178" s="301"/>
      <c r="AG178" s="301"/>
      <c r="AH178" s="301"/>
      <c r="AI178" s="301"/>
      <c r="AJ178" s="301"/>
    </row>
    <row r="179" spans="1:36" x14ac:dyDescent="0.3">
      <c r="A179" s="301"/>
      <c r="B179" s="301"/>
      <c r="C179" s="301"/>
      <c r="E179" s="301"/>
      <c r="F179" s="301"/>
      <c r="G179" s="301"/>
      <c r="H179" s="301"/>
      <c r="I179" s="301"/>
      <c r="J179" s="301"/>
      <c r="K179" s="301"/>
      <c r="L179" s="301"/>
      <c r="N179" s="301"/>
      <c r="O179" s="301"/>
      <c r="P179" s="301"/>
      <c r="Q179" s="301"/>
      <c r="R179" s="301"/>
      <c r="S179" s="301"/>
      <c r="T179" s="301"/>
      <c r="U179" s="301"/>
      <c r="V179" s="301"/>
      <c r="W179" s="301"/>
      <c r="X179" s="301"/>
      <c r="Z179" s="301"/>
      <c r="AA179" s="301"/>
      <c r="AB179" s="301"/>
      <c r="AC179" s="301"/>
      <c r="AD179" s="301"/>
      <c r="AE179" s="301"/>
      <c r="AF179" s="301"/>
      <c r="AG179" s="301"/>
      <c r="AH179" s="301"/>
      <c r="AI179" s="301"/>
      <c r="AJ179" s="301"/>
    </row>
    <row r="180" spans="1:36" x14ac:dyDescent="0.3">
      <c r="A180" s="301"/>
      <c r="B180" s="301"/>
      <c r="C180" s="301"/>
      <c r="E180" s="301"/>
      <c r="F180" s="301"/>
      <c r="G180" s="301"/>
      <c r="H180" s="301"/>
      <c r="I180" s="301"/>
      <c r="J180" s="301"/>
      <c r="K180" s="301"/>
      <c r="L180" s="301"/>
      <c r="N180" s="301"/>
      <c r="O180" s="301"/>
      <c r="P180" s="301"/>
      <c r="Q180" s="301"/>
      <c r="R180" s="301"/>
      <c r="S180" s="301"/>
      <c r="T180" s="301"/>
      <c r="U180" s="301"/>
      <c r="V180" s="301"/>
      <c r="W180" s="301"/>
      <c r="X180" s="301"/>
      <c r="Z180" s="301"/>
      <c r="AA180" s="301"/>
      <c r="AB180" s="301"/>
      <c r="AC180" s="301"/>
      <c r="AD180" s="301"/>
      <c r="AE180" s="301"/>
      <c r="AF180" s="301"/>
      <c r="AG180" s="301"/>
      <c r="AH180" s="301"/>
      <c r="AI180" s="301"/>
      <c r="AJ180" s="301"/>
    </row>
    <row r="181" spans="1:36" x14ac:dyDescent="0.3">
      <c r="A181" s="301"/>
      <c r="B181" s="301"/>
      <c r="C181" s="301"/>
      <c r="E181" s="301"/>
      <c r="F181" s="301"/>
      <c r="G181" s="301"/>
      <c r="H181" s="301"/>
      <c r="I181" s="301"/>
      <c r="J181" s="301"/>
      <c r="K181" s="301"/>
      <c r="L181" s="301"/>
      <c r="N181" s="301"/>
      <c r="O181" s="301"/>
      <c r="P181" s="301"/>
      <c r="Q181" s="301"/>
      <c r="R181" s="301"/>
      <c r="S181" s="301"/>
      <c r="T181" s="301"/>
      <c r="U181" s="301"/>
      <c r="V181" s="301"/>
      <c r="W181" s="301"/>
      <c r="X181" s="301"/>
      <c r="Z181" s="301"/>
      <c r="AA181" s="301"/>
      <c r="AB181" s="301"/>
      <c r="AC181" s="301"/>
      <c r="AD181" s="301"/>
      <c r="AE181" s="301"/>
      <c r="AF181" s="301"/>
      <c r="AG181" s="301"/>
      <c r="AH181" s="301"/>
      <c r="AI181" s="301"/>
      <c r="AJ181" s="301"/>
    </row>
    <row r="182" spans="1:36" x14ac:dyDescent="0.3">
      <c r="A182" s="301"/>
      <c r="B182" s="301"/>
      <c r="C182" s="301"/>
      <c r="E182" s="301"/>
      <c r="F182" s="301"/>
      <c r="G182" s="301"/>
      <c r="H182" s="301"/>
      <c r="I182" s="301"/>
      <c r="J182" s="301"/>
      <c r="K182" s="301"/>
      <c r="L182" s="301"/>
      <c r="N182" s="301"/>
      <c r="O182" s="301"/>
      <c r="P182" s="301"/>
      <c r="Q182" s="301"/>
      <c r="R182" s="301"/>
      <c r="S182" s="301"/>
      <c r="T182" s="301"/>
      <c r="U182" s="301"/>
      <c r="V182" s="301"/>
      <c r="W182" s="301"/>
      <c r="X182" s="301"/>
      <c r="Z182" s="301"/>
      <c r="AA182" s="301"/>
      <c r="AB182" s="301"/>
      <c r="AC182" s="301"/>
      <c r="AD182" s="301"/>
      <c r="AE182" s="301"/>
      <c r="AF182" s="301"/>
      <c r="AG182" s="301"/>
      <c r="AH182" s="301"/>
      <c r="AI182" s="301"/>
      <c r="AJ182" s="301"/>
    </row>
    <row r="183" spans="1:36" x14ac:dyDescent="0.3">
      <c r="A183" s="301"/>
      <c r="B183" s="301"/>
      <c r="C183" s="301"/>
      <c r="E183" s="301"/>
      <c r="F183" s="301"/>
      <c r="G183" s="301"/>
      <c r="H183" s="301"/>
      <c r="I183" s="301"/>
      <c r="J183" s="301"/>
      <c r="K183" s="301"/>
      <c r="L183" s="301"/>
      <c r="N183" s="301"/>
      <c r="O183" s="301"/>
      <c r="P183" s="301"/>
      <c r="Q183" s="301"/>
      <c r="R183" s="301"/>
      <c r="S183" s="301"/>
      <c r="T183" s="301"/>
      <c r="U183" s="301"/>
      <c r="V183" s="301"/>
      <c r="W183" s="301"/>
      <c r="X183" s="301"/>
      <c r="Z183" s="301"/>
      <c r="AA183" s="301"/>
      <c r="AB183" s="301"/>
      <c r="AC183" s="301"/>
      <c r="AD183" s="301"/>
      <c r="AE183" s="301"/>
      <c r="AF183" s="301"/>
      <c r="AG183" s="301"/>
      <c r="AH183" s="301"/>
      <c r="AI183" s="301"/>
      <c r="AJ183" s="301"/>
    </row>
    <row r="184" spans="1:36" x14ac:dyDescent="0.3">
      <c r="A184" s="301"/>
      <c r="B184" s="301"/>
      <c r="C184" s="301"/>
      <c r="E184" s="301"/>
      <c r="F184" s="301"/>
      <c r="G184" s="301"/>
      <c r="H184" s="301"/>
      <c r="I184" s="301"/>
      <c r="J184" s="301"/>
      <c r="K184" s="301"/>
      <c r="L184" s="301"/>
      <c r="N184" s="301"/>
      <c r="O184" s="301"/>
      <c r="P184" s="301"/>
      <c r="Q184" s="301"/>
      <c r="R184" s="301"/>
      <c r="S184" s="301"/>
      <c r="T184" s="301"/>
      <c r="U184" s="301"/>
      <c r="V184" s="301"/>
      <c r="W184" s="301"/>
      <c r="X184" s="301"/>
      <c r="Z184" s="301"/>
      <c r="AA184" s="301"/>
      <c r="AB184" s="301"/>
      <c r="AC184" s="301"/>
      <c r="AD184" s="301"/>
      <c r="AE184" s="301"/>
      <c r="AF184" s="301"/>
      <c r="AG184" s="301"/>
      <c r="AH184" s="301"/>
      <c r="AI184" s="301"/>
      <c r="AJ184" s="301"/>
    </row>
    <row r="185" spans="1:36" x14ac:dyDescent="0.3">
      <c r="A185" s="301"/>
      <c r="B185" s="301"/>
      <c r="C185" s="301"/>
      <c r="E185" s="301"/>
      <c r="F185" s="301"/>
      <c r="G185" s="301"/>
      <c r="H185" s="301"/>
      <c r="I185" s="301"/>
      <c r="J185" s="301"/>
      <c r="K185" s="301"/>
      <c r="L185" s="301"/>
      <c r="N185" s="301"/>
      <c r="O185" s="301"/>
      <c r="P185" s="301"/>
      <c r="Q185" s="301"/>
      <c r="R185" s="301"/>
      <c r="S185" s="301"/>
      <c r="T185" s="301"/>
      <c r="U185" s="301"/>
      <c r="V185" s="301"/>
      <c r="W185" s="301"/>
      <c r="X185" s="301"/>
      <c r="Z185" s="301"/>
      <c r="AA185" s="301"/>
      <c r="AB185" s="301"/>
      <c r="AC185" s="301"/>
      <c r="AD185" s="301"/>
      <c r="AE185" s="301"/>
      <c r="AF185" s="301"/>
      <c r="AG185" s="301"/>
      <c r="AH185" s="301"/>
      <c r="AI185" s="301"/>
      <c r="AJ185" s="301"/>
    </row>
    <row r="186" spans="1:36" x14ac:dyDescent="0.3">
      <c r="A186" s="301"/>
      <c r="B186" s="301"/>
      <c r="C186" s="301"/>
      <c r="E186" s="301"/>
      <c r="F186" s="301"/>
      <c r="G186" s="301"/>
      <c r="H186" s="301"/>
      <c r="I186" s="301"/>
      <c r="J186" s="301"/>
      <c r="K186" s="301"/>
      <c r="L186" s="301"/>
      <c r="N186" s="301"/>
      <c r="O186" s="301"/>
      <c r="P186" s="301"/>
      <c r="Q186" s="301"/>
      <c r="R186" s="301"/>
      <c r="S186" s="301"/>
      <c r="T186" s="301"/>
      <c r="U186" s="301"/>
      <c r="V186" s="301"/>
      <c r="W186" s="301"/>
      <c r="X186" s="301"/>
      <c r="Z186" s="301"/>
      <c r="AA186" s="301"/>
      <c r="AB186" s="301"/>
      <c r="AC186" s="301"/>
      <c r="AD186" s="301"/>
      <c r="AE186" s="301"/>
      <c r="AF186" s="301"/>
      <c r="AG186" s="301"/>
      <c r="AH186" s="301"/>
      <c r="AI186" s="301"/>
      <c r="AJ186" s="301"/>
    </row>
    <row r="187" spans="1:36" x14ac:dyDescent="0.3">
      <c r="A187" s="301"/>
      <c r="B187" s="301"/>
      <c r="C187" s="301"/>
      <c r="E187" s="301"/>
      <c r="F187" s="301"/>
      <c r="G187" s="301"/>
      <c r="H187" s="301"/>
      <c r="I187" s="301"/>
      <c r="J187" s="301"/>
      <c r="K187" s="301"/>
      <c r="L187" s="301"/>
      <c r="N187" s="301"/>
      <c r="O187" s="301"/>
      <c r="P187" s="301"/>
      <c r="Q187" s="301"/>
      <c r="R187" s="301"/>
      <c r="S187" s="301"/>
      <c r="T187" s="301"/>
      <c r="U187" s="301"/>
      <c r="V187" s="301"/>
      <c r="W187" s="301"/>
      <c r="X187" s="301"/>
      <c r="Z187" s="301"/>
      <c r="AA187" s="301"/>
      <c r="AB187" s="301"/>
      <c r="AC187" s="301"/>
      <c r="AD187" s="301"/>
      <c r="AE187" s="301"/>
      <c r="AF187" s="301"/>
      <c r="AG187" s="301"/>
      <c r="AH187" s="301"/>
      <c r="AI187" s="301"/>
      <c r="AJ187" s="301"/>
    </row>
    <row r="188" spans="1:36" x14ac:dyDescent="0.3">
      <c r="A188" s="301"/>
      <c r="B188" s="301"/>
      <c r="C188" s="301"/>
      <c r="E188" s="301"/>
      <c r="F188" s="301"/>
      <c r="G188" s="301"/>
      <c r="H188" s="301"/>
      <c r="I188" s="301"/>
      <c r="J188" s="301"/>
      <c r="K188" s="301"/>
      <c r="L188" s="301"/>
      <c r="N188" s="301"/>
      <c r="O188" s="301"/>
      <c r="P188" s="301"/>
      <c r="Q188" s="301"/>
      <c r="R188" s="301"/>
      <c r="S188" s="301"/>
      <c r="T188" s="301"/>
      <c r="U188" s="301"/>
      <c r="V188" s="301"/>
      <c r="W188" s="301"/>
      <c r="X188" s="301"/>
      <c r="Z188" s="301"/>
      <c r="AA188" s="301"/>
      <c r="AB188" s="301"/>
      <c r="AC188" s="301"/>
      <c r="AD188" s="301"/>
      <c r="AE188" s="301"/>
      <c r="AF188" s="301"/>
      <c r="AG188" s="301"/>
      <c r="AH188" s="301"/>
      <c r="AI188" s="301"/>
      <c r="AJ188" s="301"/>
    </row>
    <row r="189" spans="1:36" x14ac:dyDescent="0.3">
      <c r="A189" s="301"/>
      <c r="B189" s="301"/>
      <c r="C189" s="301"/>
      <c r="E189" s="301"/>
      <c r="F189" s="301"/>
      <c r="G189" s="301"/>
      <c r="H189" s="301"/>
      <c r="I189" s="301"/>
      <c r="J189" s="301"/>
      <c r="K189" s="301"/>
      <c r="L189" s="301"/>
      <c r="N189" s="301"/>
      <c r="O189" s="301"/>
      <c r="P189" s="301"/>
      <c r="Q189" s="301"/>
      <c r="R189" s="301"/>
      <c r="S189" s="301"/>
      <c r="T189" s="301"/>
      <c r="U189" s="301"/>
      <c r="V189" s="301"/>
      <c r="W189" s="301"/>
      <c r="X189" s="301"/>
      <c r="Z189" s="301"/>
      <c r="AA189" s="301"/>
      <c r="AB189" s="301"/>
      <c r="AC189" s="301"/>
      <c r="AD189" s="301"/>
      <c r="AE189" s="301"/>
      <c r="AF189" s="301"/>
      <c r="AG189" s="301"/>
      <c r="AH189" s="301"/>
      <c r="AI189" s="301"/>
      <c r="AJ189" s="301"/>
    </row>
    <row r="190" spans="1:36" x14ac:dyDescent="0.3">
      <c r="A190" s="301"/>
      <c r="B190" s="301"/>
      <c r="C190" s="301"/>
      <c r="E190" s="301"/>
      <c r="F190" s="301"/>
      <c r="G190" s="301"/>
      <c r="H190" s="301"/>
      <c r="I190" s="301"/>
      <c r="J190" s="301"/>
      <c r="K190" s="301"/>
      <c r="L190" s="301"/>
      <c r="N190" s="301"/>
      <c r="O190" s="301"/>
      <c r="P190" s="301"/>
      <c r="Q190" s="301"/>
      <c r="R190" s="301"/>
      <c r="S190" s="301"/>
      <c r="T190" s="301"/>
      <c r="U190" s="301"/>
      <c r="V190" s="301"/>
      <c r="W190" s="301"/>
      <c r="X190" s="301"/>
      <c r="Z190" s="301"/>
      <c r="AA190" s="301"/>
      <c r="AB190" s="301"/>
      <c r="AC190" s="301"/>
      <c r="AD190" s="301"/>
      <c r="AE190" s="301"/>
      <c r="AF190" s="301"/>
      <c r="AG190" s="301"/>
      <c r="AH190" s="301"/>
      <c r="AI190" s="301"/>
      <c r="AJ190" s="301"/>
    </row>
    <row r="191" spans="1:36" x14ac:dyDescent="0.3">
      <c r="A191" s="301"/>
      <c r="B191" s="301"/>
      <c r="C191" s="301"/>
      <c r="E191" s="301"/>
      <c r="F191" s="301"/>
      <c r="G191" s="301"/>
      <c r="H191" s="301"/>
      <c r="I191" s="301"/>
      <c r="J191" s="301"/>
      <c r="K191" s="301"/>
      <c r="L191" s="301"/>
      <c r="N191" s="301"/>
      <c r="O191" s="301"/>
      <c r="P191" s="301"/>
      <c r="Q191" s="301"/>
      <c r="R191" s="301"/>
      <c r="S191" s="301"/>
      <c r="T191" s="301"/>
      <c r="U191" s="301"/>
      <c r="V191" s="301"/>
      <c r="W191" s="301"/>
      <c r="X191" s="301"/>
      <c r="Z191" s="301"/>
      <c r="AA191" s="301"/>
      <c r="AB191" s="301"/>
      <c r="AC191" s="301"/>
      <c r="AD191" s="301"/>
      <c r="AE191" s="301"/>
      <c r="AF191" s="301"/>
      <c r="AG191" s="301"/>
      <c r="AH191" s="301"/>
      <c r="AI191" s="301"/>
      <c r="AJ191" s="301"/>
    </row>
    <row r="192" spans="1:36" x14ac:dyDescent="0.3">
      <c r="A192" s="301"/>
      <c r="B192" s="301"/>
      <c r="C192" s="301"/>
      <c r="E192" s="301"/>
      <c r="F192" s="301"/>
      <c r="G192" s="301"/>
      <c r="H192" s="301"/>
      <c r="I192" s="301"/>
      <c r="J192" s="301"/>
      <c r="K192" s="301"/>
      <c r="L192" s="301"/>
      <c r="N192" s="301"/>
      <c r="O192" s="301"/>
      <c r="P192" s="301"/>
      <c r="Q192" s="301"/>
      <c r="R192" s="301"/>
      <c r="S192" s="301"/>
      <c r="T192" s="301"/>
      <c r="U192" s="301"/>
      <c r="V192" s="301"/>
      <c r="W192" s="301"/>
      <c r="X192" s="301"/>
      <c r="Z192" s="301"/>
      <c r="AA192" s="301"/>
      <c r="AB192" s="301"/>
      <c r="AC192" s="301"/>
      <c r="AD192" s="301"/>
      <c r="AE192" s="301"/>
      <c r="AF192" s="301"/>
      <c r="AG192" s="301"/>
      <c r="AH192" s="301"/>
      <c r="AI192" s="301"/>
      <c r="AJ192" s="301"/>
    </row>
    <row r="193" spans="1:36" x14ac:dyDescent="0.3">
      <c r="A193" s="301"/>
      <c r="B193" s="301"/>
      <c r="C193" s="301"/>
      <c r="E193" s="301"/>
      <c r="F193" s="301"/>
      <c r="G193" s="301"/>
      <c r="H193" s="301"/>
      <c r="I193" s="301"/>
      <c r="J193" s="301"/>
      <c r="K193" s="301"/>
      <c r="L193" s="301"/>
      <c r="N193" s="301"/>
      <c r="O193" s="301"/>
      <c r="P193" s="301"/>
      <c r="Q193" s="301"/>
      <c r="R193" s="301"/>
      <c r="S193" s="301"/>
      <c r="T193" s="301"/>
      <c r="U193" s="301"/>
      <c r="V193" s="301"/>
      <c r="W193" s="301"/>
      <c r="X193" s="301"/>
      <c r="Z193" s="301"/>
      <c r="AA193" s="301"/>
      <c r="AB193" s="301"/>
      <c r="AC193" s="301"/>
      <c r="AD193" s="301"/>
      <c r="AE193" s="301"/>
      <c r="AF193" s="301"/>
      <c r="AG193" s="301"/>
      <c r="AH193" s="301"/>
      <c r="AI193" s="301"/>
      <c r="AJ193" s="301"/>
    </row>
    <row r="194" spans="1:36" x14ac:dyDescent="0.3">
      <c r="A194" s="301"/>
      <c r="B194" s="301"/>
      <c r="C194" s="301"/>
      <c r="E194" s="301"/>
      <c r="F194" s="301"/>
      <c r="G194" s="301"/>
      <c r="H194" s="301"/>
      <c r="I194" s="301"/>
      <c r="J194" s="301"/>
      <c r="K194" s="301"/>
      <c r="L194" s="301"/>
      <c r="N194" s="301"/>
      <c r="O194" s="301"/>
      <c r="P194" s="301"/>
      <c r="Q194" s="301"/>
      <c r="R194" s="301"/>
      <c r="S194" s="301"/>
      <c r="T194" s="301"/>
      <c r="U194" s="301"/>
      <c r="V194" s="301"/>
      <c r="W194" s="301"/>
      <c r="X194" s="301"/>
      <c r="Z194" s="301"/>
      <c r="AA194" s="301"/>
      <c r="AB194" s="301"/>
      <c r="AC194" s="301"/>
      <c r="AD194" s="301"/>
      <c r="AE194" s="301"/>
      <c r="AF194" s="301"/>
      <c r="AG194" s="301"/>
      <c r="AH194" s="301"/>
      <c r="AI194" s="301"/>
      <c r="AJ194" s="301"/>
    </row>
    <row r="195" spans="1:36" x14ac:dyDescent="0.3">
      <c r="A195" s="301"/>
      <c r="B195" s="301"/>
      <c r="C195" s="301"/>
      <c r="E195" s="301"/>
      <c r="F195" s="301"/>
      <c r="G195" s="301"/>
      <c r="H195" s="301"/>
      <c r="I195" s="301"/>
      <c r="J195" s="301"/>
      <c r="K195" s="301"/>
      <c r="L195" s="301"/>
      <c r="N195" s="301"/>
      <c r="O195" s="301"/>
      <c r="P195" s="301"/>
      <c r="Q195" s="301"/>
      <c r="R195" s="301"/>
      <c r="S195" s="301"/>
      <c r="T195" s="301"/>
      <c r="U195" s="301"/>
      <c r="V195" s="301"/>
      <c r="W195" s="301"/>
      <c r="X195" s="301"/>
      <c r="Z195" s="301"/>
      <c r="AA195" s="301"/>
      <c r="AB195" s="301"/>
      <c r="AC195" s="301"/>
      <c r="AD195" s="301"/>
      <c r="AE195" s="301"/>
      <c r="AF195" s="301"/>
      <c r="AG195" s="301"/>
      <c r="AH195" s="301"/>
      <c r="AI195" s="301"/>
      <c r="AJ195" s="301"/>
    </row>
    <row r="196" spans="1:36" x14ac:dyDescent="0.3">
      <c r="A196" s="301"/>
      <c r="B196" s="301"/>
      <c r="C196" s="301"/>
      <c r="E196" s="301"/>
      <c r="F196" s="301"/>
      <c r="G196" s="301"/>
      <c r="H196" s="301"/>
      <c r="I196" s="301"/>
      <c r="J196" s="301"/>
      <c r="K196" s="301"/>
      <c r="L196" s="301"/>
      <c r="N196" s="301"/>
      <c r="O196" s="301"/>
      <c r="P196" s="301"/>
      <c r="Q196" s="301"/>
      <c r="R196" s="301"/>
      <c r="S196" s="301"/>
      <c r="T196" s="301"/>
      <c r="U196" s="301"/>
      <c r="V196" s="301"/>
      <c r="W196" s="301"/>
      <c r="X196" s="301"/>
      <c r="Z196" s="301"/>
      <c r="AA196" s="301"/>
      <c r="AB196" s="301"/>
      <c r="AC196" s="301"/>
      <c r="AD196" s="301"/>
      <c r="AE196" s="301"/>
      <c r="AF196" s="301"/>
      <c r="AG196" s="301"/>
      <c r="AH196" s="301"/>
      <c r="AI196" s="301"/>
      <c r="AJ196" s="301"/>
    </row>
    <row r="197" spans="1:36" x14ac:dyDescent="0.3">
      <c r="A197" s="301"/>
      <c r="B197" s="301"/>
      <c r="C197" s="301"/>
      <c r="E197" s="301"/>
      <c r="F197" s="301"/>
      <c r="G197" s="301"/>
      <c r="H197" s="301"/>
      <c r="I197" s="301"/>
      <c r="J197" s="301"/>
      <c r="K197" s="301"/>
      <c r="L197" s="301"/>
      <c r="N197" s="301"/>
      <c r="O197" s="301"/>
      <c r="P197" s="301"/>
      <c r="Q197" s="301"/>
      <c r="R197" s="301"/>
      <c r="S197" s="301"/>
      <c r="T197" s="301"/>
      <c r="U197" s="301"/>
      <c r="V197" s="301"/>
      <c r="W197" s="301"/>
      <c r="X197" s="301"/>
      <c r="Z197" s="301"/>
      <c r="AA197" s="301"/>
      <c r="AB197" s="301"/>
      <c r="AC197" s="301"/>
      <c r="AD197" s="301"/>
      <c r="AE197" s="301"/>
      <c r="AF197" s="301"/>
      <c r="AG197" s="301"/>
      <c r="AH197" s="301"/>
      <c r="AI197" s="301"/>
      <c r="AJ197" s="301"/>
    </row>
    <row r="198" spans="1:36" x14ac:dyDescent="0.3">
      <c r="A198" s="301"/>
      <c r="B198" s="301"/>
      <c r="C198" s="301"/>
      <c r="E198" s="301"/>
      <c r="F198" s="301"/>
      <c r="G198" s="301"/>
      <c r="H198" s="301"/>
      <c r="I198" s="301"/>
      <c r="J198" s="301"/>
      <c r="K198" s="301"/>
      <c r="L198" s="301"/>
      <c r="N198" s="301"/>
      <c r="O198" s="301"/>
      <c r="P198" s="301"/>
      <c r="Q198" s="301"/>
      <c r="R198" s="301"/>
      <c r="S198" s="301"/>
      <c r="T198" s="301"/>
      <c r="U198" s="301"/>
      <c r="V198" s="301"/>
      <c r="W198" s="301"/>
      <c r="X198" s="301"/>
      <c r="Z198" s="301"/>
      <c r="AA198" s="301"/>
      <c r="AB198" s="301"/>
      <c r="AC198" s="301"/>
      <c r="AD198" s="301"/>
      <c r="AE198" s="301"/>
      <c r="AF198" s="301"/>
      <c r="AG198" s="301"/>
      <c r="AH198" s="301"/>
      <c r="AI198" s="301"/>
      <c r="AJ198" s="301"/>
    </row>
    <row r="199" spans="1:36" x14ac:dyDescent="0.3">
      <c r="A199" s="301"/>
      <c r="B199" s="301"/>
      <c r="C199" s="301"/>
      <c r="E199" s="301"/>
      <c r="F199" s="301"/>
      <c r="G199" s="301"/>
      <c r="H199" s="301"/>
      <c r="I199" s="301"/>
      <c r="J199" s="301"/>
      <c r="K199" s="301"/>
      <c r="L199" s="301"/>
      <c r="N199" s="301"/>
      <c r="O199" s="301"/>
      <c r="P199" s="301"/>
      <c r="Q199" s="301"/>
      <c r="R199" s="301"/>
      <c r="S199" s="301"/>
      <c r="T199" s="301"/>
      <c r="U199" s="301"/>
      <c r="V199" s="301"/>
      <c r="W199" s="301"/>
      <c r="X199" s="301"/>
      <c r="Z199" s="301"/>
      <c r="AA199" s="301"/>
      <c r="AB199" s="301"/>
      <c r="AC199" s="301"/>
      <c r="AD199" s="301"/>
      <c r="AE199" s="301"/>
      <c r="AF199" s="301"/>
      <c r="AG199" s="301"/>
      <c r="AH199" s="301"/>
      <c r="AI199" s="301"/>
      <c r="AJ199" s="301"/>
    </row>
    <row r="200" spans="1:36" x14ac:dyDescent="0.3">
      <c r="A200" s="301"/>
      <c r="B200" s="301"/>
      <c r="C200" s="301"/>
      <c r="E200" s="301"/>
      <c r="F200" s="301"/>
      <c r="G200" s="301"/>
      <c r="H200" s="301"/>
      <c r="I200" s="301"/>
      <c r="J200" s="301"/>
      <c r="K200" s="301"/>
      <c r="L200" s="301"/>
      <c r="N200" s="301"/>
      <c r="O200" s="301"/>
      <c r="P200" s="301"/>
      <c r="Q200" s="301"/>
      <c r="R200" s="301"/>
      <c r="S200" s="301"/>
      <c r="T200" s="301"/>
      <c r="U200" s="301"/>
      <c r="V200" s="301"/>
      <c r="W200" s="301"/>
      <c r="X200" s="301"/>
      <c r="Z200" s="301"/>
      <c r="AA200" s="301"/>
      <c r="AB200" s="301"/>
      <c r="AC200" s="301"/>
      <c r="AD200" s="301"/>
      <c r="AE200" s="301"/>
      <c r="AF200" s="301"/>
      <c r="AG200" s="301"/>
      <c r="AH200" s="301"/>
      <c r="AI200" s="301"/>
      <c r="AJ200" s="301"/>
    </row>
    <row r="201" spans="1:36" x14ac:dyDescent="0.3">
      <c r="A201" s="301"/>
      <c r="B201" s="301"/>
      <c r="C201" s="301"/>
      <c r="E201" s="301"/>
      <c r="F201" s="301"/>
      <c r="G201" s="301"/>
      <c r="H201" s="301"/>
      <c r="I201" s="301"/>
      <c r="J201" s="301"/>
      <c r="K201" s="301"/>
      <c r="L201" s="301"/>
      <c r="N201" s="301"/>
      <c r="O201" s="301"/>
      <c r="P201" s="301"/>
      <c r="Q201" s="301"/>
      <c r="R201" s="301"/>
      <c r="S201" s="301"/>
      <c r="T201" s="301"/>
      <c r="U201" s="301"/>
      <c r="V201" s="301"/>
      <c r="W201" s="301"/>
      <c r="X201" s="301"/>
      <c r="Z201" s="301"/>
      <c r="AA201" s="301"/>
      <c r="AB201" s="301"/>
      <c r="AC201" s="301"/>
      <c r="AD201" s="301"/>
      <c r="AE201" s="301"/>
      <c r="AF201" s="301"/>
      <c r="AG201" s="301"/>
      <c r="AH201" s="301"/>
      <c r="AI201" s="301"/>
      <c r="AJ201" s="301"/>
    </row>
    <row r="202" spans="1:36" x14ac:dyDescent="0.3">
      <c r="A202" s="301"/>
      <c r="B202" s="301"/>
      <c r="C202" s="301"/>
      <c r="E202" s="301"/>
      <c r="F202" s="301"/>
      <c r="G202" s="301"/>
      <c r="H202" s="301"/>
      <c r="I202" s="301"/>
      <c r="J202" s="301"/>
      <c r="K202" s="301"/>
      <c r="L202" s="301"/>
      <c r="N202" s="301"/>
      <c r="O202" s="301"/>
      <c r="P202" s="301"/>
      <c r="Q202" s="301"/>
      <c r="R202" s="301"/>
      <c r="S202" s="301"/>
      <c r="T202" s="301"/>
      <c r="U202" s="301"/>
      <c r="V202" s="301"/>
      <c r="W202" s="301"/>
      <c r="X202" s="301"/>
      <c r="Z202" s="301"/>
      <c r="AA202" s="301"/>
      <c r="AB202" s="301"/>
      <c r="AC202" s="301"/>
      <c r="AD202" s="301"/>
      <c r="AE202" s="301"/>
      <c r="AF202" s="301"/>
      <c r="AG202" s="301"/>
      <c r="AH202" s="301"/>
      <c r="AI202" s="301"/>
      <c r="AJ202" s="301"/>
    </row>
    <row r="203" spans="1:36" x14ac:dyDescent="0.3">
      <c r="A203" s="301"/>
      <c r="B203" s="301"/>
      <c r="C203" s="301"/>
      <c r="E203" s="301"/>
      <c r="F203" s="301"/>
      <c r="G203" s="301"/>
      <c r="H203" s="301"/>
      <c r="I203" s="301"/>
      <c r="J203" s="301"/>
      <c r="K203" s="301"/>
      <c r="L203" s="301"/>
      <c r="N203" s="301"/>
      <c r="O203" s="301"/>
      <c r="P203" s="301"/>
      <c r="Q203" s="301"/>
      <c r="R203" s="301"/>
      <c r="S203" s="301"/>
      <c r="T203" s="301"/>
      <c r="U203" s="301"/>
      <c r="V203" s="301"/>
      <c r="W203" s="301"/>
      <c r="X203" s="301"/>
      <c r="Z203" s="301"/>
      <c r="AA203" s="301"/>
      <c r="AB203" s="301"/>
      <c r="AC203" s="301"/>
      <c r="AD203" s="301"/>
      <c r="AE203" s="301"/>
      <c r="AF203" s="301"/>
      <c r="AG203" s="301"/>
      <c r="AH203" s="301"/>
      <c r="AI203" s="301"/>
      <c r="AJ203" s="301"/>
    </row>
    <row r="204" spans="1:36" x14ac:dyDescent="0.3">
      <c r="A204" s="301"/>
      <c r="B204" s="301"/>
      <c r="C204" s="301"/>
      <c r="E204" s="301"/>
      <c r="F204" s="301"/>
      <c r="G204" s="301"/>
      <c r="H204" s="301"/>
      <c r="I204" s="301"/>
      <c r="J204" s="301"/>
      <c r="K204" s="301"/>
      <c r="L204" s="301"/>
      <c r="N204" s="301"/>
      <c r="O204" s="301"/>
      <c r="P204" s="301"/>
      <c r="Q204" s="301"/>
      <c r="R204" s="301"/>
      <c r="S204" s="301"/>
      <c r="T204" s="301"/>
      <c r="U204" s="301"/>
      <c r="V204" s="301"/>
      <c r="W204" s="301"/>
      <c r="X204" s="301"/>
      <c r="Z204" s="301"/>
      <c r="AA204" s="301"/>
      <c r="AB204" s="301"/>
      <c r="AC204" s="301"/>
      <c r="AD204" s="301"/>
      <c r="AE204" s="301"/>
      <c r="AF204" s="301"/>
      <c r="AG204" s="301"/>
      <c r="AH204" s="301"/>
      <c r="AI204" s="301"/>
      <c r="AJ204" s="301"/>
    </row>
    <row r="205" spans="1:36" x14ac:dyDescent="0.3">
      <c r="A205" s="301"/>
      <c r="B205" s="301"/>
      <c r="C205" s="301"/>
      <c r="E205" s="301"/>
      <c r="F205" s="301"/>
      <c r="G205" s="301"/>
      <c r="H205" s="301"/>
      <c r="I205" s="301"/>
      <c r="J205" s="301"/>
      <c r="K205" s="301"/>
      <c r="L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Z205" s="301"/>
      <c r="AA205" s="301"/>
      <c r="AB205" s="301"/>
      <c r="AC205" s="301"/>
      <c r="AD205" s="301"/>
      <c r="AE205" s="301"/>
      <c r="AF205" s="301"/>
      <c r="AG205" s="301"/>
      <c r="AH205" s="301"/>
      <c r="AI205" s="301"/>
      <c r="AJ205" s="301"/>
    </row>
    <row r="206" spans="1:36" x14ac:dyDescent="0.3">
      <c r="A206" s="301"/>
      <c r="B206" s="301"/>
      <c r="C206" s="301"/>
      <c r="E206" s="301"/>
      <c r="F206" s="301"/>
      <c r="G206" s="301"/>
      <c r="H206" s="301"/>
      <c r="I206" s="301"/>
      <c r="J206" s="301"/>
      <c r="K206" s="301"/>
      <c r="L206" s="301"/>
      <c r="N206" s="301"/>
      <c r="O206" s="301"/>
      <c r="P206" s="301"/>
      <c r="Q206" s="301"/>
      <c r="R206" s="301"/>
      <c r="S206" s="301"/>
      <c r="T206" s="301"/>
      <c r="U206" s="301"/>
      <c r="V206" s="301"/>
      <c r="W206" s="301"/>
      <c r="X206" s="301"/>
      <c r="Z206" s="301"/>
      <c r="AA206" s="301"/>
      <c r="AB206" s="301"/>
      <c r="AC206" s="301"/>
      <c r="AD206" s="301"/>
      <c r="AE206" s="301"/>
      <c r="AF206" s="301"/>
      <c r="AG206" s="301"/>
      <c r="AH206" s="301"/>
      <c r="AI206" s="301"/>
      <c r="AJ206" s="301"/>
    </row>
    <row r="207" spans="1:36" x14ac:dyDescent="0.3">
      <c r="A207" s="301"/>
      <c r="B207" s="301"/>
      <c r="C207" s="301"/>
      <c r="E207" s="301"/>
      <c r="F207" s="301"/>
      <c r="G207" s="301"/>
      <c r="H207" s="301"/>
      <c r="I207" s="301"/>
      <c r="J207" s="301"/>
      <c r="K207" s="301"/>
      <c r="L207" s="301"/>
      <c r="N207" s="301"/>
      <c r="O207" s="301"/>
      <c r="P207" s="301"/>
      <c r="Q207" s="301"/>
      <c r="R207" s="301"/>
      <c r="S207" s="301"/>
      <c r="T207" s="301"/>
      <c r="U207" s="301"/>
      <c r="V207" s="301"/>
      <c r="W207" s="301"/>
      <c r="X207" s="301"/>
      <c r="Z207" s="301"/>
      <c r="AA207" s="301"/>
      <c r="AB207" s="301"/>
      <c r="AC207" s="301"/>
      <c r="AD207" s="301"/>
      <c r="AE207" s="301"/>
      <c r="AF207" s="301"/>
      <c r="AG207" s="301"/>
      <c r="AH207" s="301"/>
      <c r="AI207" s="301"/>
      <c r="AJ207" s="301"/>
    </row>
    <row r="208" spans="1:36" x14ac:dyDescent="0.3">
      <c r="A208" s="301"/>
      <c r="B208" s="301"/>
      <c r="C208" s="301"/>
      <c r="E208" s="301"/>
      <c r="F208" s="301"/>
      <c r="G208" s="301"/>
      <c r="H208" s="301"/>
      <c r="I208" s="301"/>
      <c r="J208" s="301"/>
      <c r="K208" s="301"/>
      <c r="L208" s="301"/>
      <c r="N208" s="301"/>
      <c r="O208" s="301"/>
      <c r="P208" s="301"/>
      <c r="Q208" s="301"/>
      <c r="R208" s="301"/>
      <c r="S208" s="301"/>
      <c r="T208" s="301"/>
      <c r="U208" s="301"/>
      <c r="V208" s="301"/>
      <c r="W208" s="301"/>
      <c r="X208" s="301"/>
      <c r="Z208" s="301"/>
      <c r="AA208" s="301"/>
      <c r="AB208" s="301"/>
      <c r="AC208" s="301"/>
      <c r="AD208" s="301"/>
      <c r="AE208" s="301"/>
      <c r="AF208" s="301"/>
      <c r="AG208" s="301"/>
      <c r="AH208" s="301"/>
      <c r="AI208" s="301"/>
      <c r="AJ208" s="301"/>
    </row>
    <row r="209" spans="1:36" x14ac:dyDescent="0.3">
      <c r="A209" s="301"/>
      <c r="B209" s="301"/>
      <c r="C209" s="301"/>
      <c r="E209" s="301"/>
      <c r="F209" s="301"/>
      <c r="G209" s="301"/>
      <c r="H209" s="301"/>
      <c r="I209" s="301"/>
      <c r="J209" s="301"/>
      <c r="K209" s="301"/>
      <c r="L209" s="301"/>
      <c r="N209" s="301"/>
      <c r="O209" s="301"/>
      <c r="P209" s="301"/>
      <c r="Q209" s="301"/>
      <c r="R209" s="301"/>
      <c r="S209" s="301"/>
      <c r="T209" s="301"/>
      <c r="U209" s="301"/>
      <c r="V209" s="301"/>
      <c r="W209" s="301"/>
      <c r="X209" s="301"/>
      <c r="Z209" s="301"/>
      <c r="AA209" s="301"/>
      <c r="AB209" s="301"/>
      <c r="AC209" s="301"/>
      <c r="AD209" s="301"/>
      <c r="AE209" s="301"/>
      <c r="AF209" s="301"/>
      <c r="AG209" s="301"/>
      <c r="AH209" s="301"/>
      <c r="AI209" s="301"/>
      <c r="AJ209" s="301"/>
    </row>
    <row r="210" spans="1:36" x14ac:dyDescent="0.3">
      <c r="A210" s="301"/>
      <c r="B210" s="301"/>
      <c r="C210" s="301"/>
      <c r="E210" s="301"/>
      <c r="F210" s="301"/>
      <c r="G210" s="301"/>
      <c r="H210" s="301"/>
      <c r="I210" s="301"/>
      <c r="J210" s="301"/>
      <c r="K210" s="301"/>
      <c r="L210" s="301"/>
      <c r="N210" s="301"/>
      <c r="O210" s="301"/>
      <c r="P210" s="301"/>
      <c r="Q210" s="301"/>
      <c r="R210" s="301"/>
      <c r="S210" s="301"/>
      <c r="T210" s="301"/>
      <c r="U210" s="301"/>
      <c r="V210" s="301"/>
      <c r="W210" s="301"/>
      <c r="X210" s="301"/>
      <c r="Z210" s="301"/>
      <c r="AA210" s="301"/>
      <c r="AB210" s="301"/>
      <c r="AC210" s="301"/>
      <c r="AD210" s="301"/>
      <c r="AE210" s="301"/>
      <c r="AF210" s="301"/>
      <c r="AG210" s="301"/>
      <c r="AH210" s="301"/>
      <c r="AI210" s="301"/>
      <c r="AJ210" s="301"/>
    </row>
    <row r="211" spans="1:36" x14ac:dyDescent="0.3">
      <c r="A211" s="301"/>
      <c r="B211" s="301"/>
      <c r="C211" s="301"/>
      <c r="E211" s="301"/>
      <c r="F211" s="301"/>
      <c r="G211" s="301"/>
      <c r="H211" s="301"/>
      <c r="I211" s="301"/>
      <c r="J211" s="301"/>
      <c r="K211" s="301"/>
      <c r="L211" s="301"/>
      <c r="N211" s="301"/>
      <c r="O211" s="301"/>
      <c r="P211" s="301"/>
      <c r="Q211" s="301"/>
      <c r="R211" s="301"/>
      <c r="S211" s="301"/>
      <c r="T211" s="301"/>
      <c r="U211" s="301"/>
      <c r="V211" s="301"/>
      <c r="W211" s="301"/>
      <c r="X211" s="301"/>
      <c r="Z211" s="301"/>
      <c r="AA211" s="301"/>
      <c r="AB211" s="301"/>
      <c r="AC211" s="301"/>
      <c r="AD211" s="301"/>
      <c r="AE211" s="301"/>
      <c r="AF211" s="301"/>
      <c r="AG211" s="301"/>
      <c r="AH211" s="301"/>
      <c r="AI211" s="301"/>
      <c r="AJ211" s="301"/>
    </row>
    <row r="212" spans="1:36" x14ac:dyDescent="0.3">
      <c r="A212" s="301"/>
      <c r="B212" s="301"/>
      <c r="C212" s="301"/>
      <c r="E212" s="301"/>
      <c r="F212" s="301"/>
      <c r="G212" s="301"/>
      <c r="H212" s="301"/>
      <c r="I212" s="301"/>
      <c r="J212" s="301"/>
      <c r="K212" s="301"/>
      <c r="L212" s="301"/>
      <c r="N212" s="301"/>
      <c r="O212" s="301"/>
      <c r="P212" s="301"/>
      <c r="Q212" s="301"/>
      <c r="R212" s="301"/>
      <c r="S212" s="301"/>
      <c r="T212" s="301"/>
      <c r="U212" s="301"/>
      <c r="V212" s="301"/>
      <c r="W212" s="301"/>
      <c r="X212" s="301"/>
      <c r="Z212" s="301"/>
      <c r="AA212" s="301"/>
      <c r="AB212" s="301"/>
      <c r="AC212" s="301"/>
      <c r="AD212" s="301"/>
      <c r="AE212" s="301"/>
      <c r="AF212" s="301"/>
      <c r="AG212" s="301"/>
      <c r="AH212" s="301"/>
      <c r="AI212" s="301"/>
      <c r="AJ212" s="301"/>
    </row>
    <row r="213" spans="1:36" x14ac:dyDescent="0.3">
      <c r="A213" s="301"/>
      <c r="B213" s="301"/>
      <c r="C213" s="301"/>
      <c r="E213" s="301"/>
      <c r="F213" s="301"/>
      <c r="G213" s="301"/>
      <c r="H213" s="301"/>
      <c r="I213" s="301"/>
      <c r="J213" s="301"/>
      <c r="K213" s="301"/>
      <c r="L213" s="301"/>
      <c r="N213" s="301"/>
      <c r="O213" s="301"/>
      <c r="P213" s="301"/>
      <c r="Q213" s="301"/>
      <c r="R213" s="301"/>
      <c r="S213" s="301"/>
      <c r="T213" s="301"/>
      <c r="U213" s="301"/>
      <c r="V213" s="301"/>
      <c r="W213" s="301"/>
      <c r="X213" s="301"/>
      <c r="Z213" s="301"/>
      <c r="AA213" s="301"/>
      <c r="AB213" s="301"/>
      <c r="AC213" s="301"/>
      <c r="AD213" s="301"/>
      <c r="AE213" s="301"/>
      <c r="AF213" s="301"/>
      <c r="AG213" s="301"/>
      <c r="AH213" s="301"/>
      <c r="AI213" s="301"/>
      <c r="AJ213" s="301"/>
    </row>
    <row r="214" spans="1:36" x14ac:dyDescent="0.3">
      <c r="A214" s="301"/>
      <c r="B214" s="301"/>
      <c r="C214" s="301"/>
      <c r="E214" s="301"/>
      <c r="F214" s="301"/>
      <c r="G214" s="301"/>
      <c r="H214" s="301"/>
      <c r="I214" s="301"/>
      <c r="J214" s="301"/>
      <c r="K214" s="301"/>
      <c r="L214" s="301"/>
      <c r="N214" s="301"/>
      <c r="O214" s="301"/>
      <c r="P214" s="301"/>
      <c r="Q214" s="301"/>
      <c r="R214" s="301"/>
      <c r="S214" s="301"/>
      <c r="T214" s="301"/>
      <c r="U214" s="301"/>
      <c r="V214" s="301"/>
      <c r="W214" s="301"/>
      <c r="X214" s="301"/>
      <c r="Z214" s="301"/>
      <c r="AA214" s="301"/>
      <c r="AB214" s="301"/>
      <c r="AC214" s="301"/>
      <c r="AD214" s="301"/>
      <c r="AE214" s="301"/>
      <c r="AF214" s="301"/>
      <c r="AG214" s="301"/>
      <c r="AH214" s="301"/>
      <c r="AI214" s="301"/>
      <c r="AJ214" s="301"/>
    </row>
    <row r="215" spans="1:36" x14ac:dyDescent="0.3">
      <c r="A215" s="301"/>
      <c r="B215" s="301"/>
      <c r="C215" s="301"/>
      <c r="E215" s="301"/>
      <c r="F215" s="301"/>
      <c r="G215" s="301"/>
      <c r="H215" s="301"/>
      <c r="I215" s="301"/>
      <c r="J215" s="301"/>
      <c r="K215" s="301"/>
      <c r="L215" s="301"/>
      <c r="N215" s="301"/>
      <c r="O215" s="301"/>
      <c r="P215" s="301"/>
      <c r="Q215" s="301"/>
      <c r="R215" s="301"/>
      <c r="S215" s="301"/>
      <c r="T215" s="301"/>
      <c r="U215" s="301"/>
      <c r="V215" s="301"/>
      <c r="W215" s="301"/>
      <c r="X215" s="301"/>
      <c r="Z215" s="301"/>
      <c r="AA215" s="301"/>
      <c r="AB215" s="301"/>
      <c r="AC215" s="301"/>
      <c r="AD215" s="301"/>
      <c r="AE215" s="301"/>
      <c r="AF215" s="301"/>
      <c r="AG215" s="301"/>
      <c r="AH215" s="301"/>
      <c r="AI215" s="301"/>
      <c r="AJ215" s="301"/>
    </row>
    <row r="216" spans="1:36" x14ac:dyDescent="0.3">
      <c r="A216" s="301"/>
      <c r="B216" s="301"/>
      <c r="C216" s="301"/>
      <c r="E216" s="301"/>
      <c r="F216" s="301"/>
      <c r="G216" s="301"/>
      <c r="H216" s="301"/>
      <c r="I216" s="301"/>
      <c r="J216" s="301"/>
      <c r="K216" s="301"/>
      <c r="L216" s="301"/>
      <c r="N216" s="301"/>
      <c r="O216" s="301"/>
      <c r="P216" s="301"/>
      <c r="Q216" s="301"/>
      <c r="R216" s="301"/>
      <c r="S216" s="301"/>
      <c r="T216" s="301"/>
      <c r="U216" s="301"/>
      <c r="V216" s="301"/>
      <c r="W216" s="301"/>
      <c r="X216" s="301"/>
      <c r="Z216" s="301"/>
      <c r="AA216" s="301"/>
      <c r="AB216" s="301"/>
      <c r="AC216" s="301"/>
      <c r="AD216" s="301"/>
      <c r="AE216" s="301"/>
      <c r="AF216" s="301"/>
      <c r="AG216" s="301"/>
      <c r="AH216" s="301"/>
      <c r="AI216" s="301"/>
      <c r="AJ216" s="301"/>
    </row>
    <row r="217" spans="1:36" x14ac:dyDescent="0.3">
      <c r="A217" s="301"/>
      <c r="B217" s="301"/>
      <c r="C217" s="301"/>
      <c r="E217" s="301"/>
      <c r="F217" s="301"/>
      <c r="G217" s="301"/>
      <c r="H217" s="301"/>
      <c r="I217" s="301"/>
      <c r="J217" s="301"/>
      <c r="K217" s="301"/>
      <c r="L217" s="301"/>
      <c r="N217" s="301"/>
      <c r="O217" s="301"/>
      <c r="P217" s="301"/>
      <c r="Q217" s="301"/>
      <c r="R217" s="301"/>
      <c r="S217" s="301"/>
      <c r="T217" s="301"/>
      <c r="U217" s="301"/>
      <c r="V217" s="301"/>
      <c r="W217" s="301"/>
      <c r="X217" s="301"/>
      <c r="Z217" s="301"/>
      <c r="AA217" s="301"/>
      <c r="AB217" s="301"/>
      <c r="AC217" s="301"/>
      <c r="AD217" s="301"/>
      <c r="AE217" s="301"/>
      <c r="AF217" s="301"/>
      <c r="AG217" s="301"/>
      <c r="AH217" s="301"/>
      <c r="AI217" s="301"/>
      <c r="AJ217" s="301"/>
    </row>
    <row r="218" spans="1:36" x14ac:dyDescent="0.3">
      <c r="A218" s="301"/>
      <c r="B218" s="301"/>
      <c r="C218" s="301"/>
      <c r="E218" s="301"/>
      <c r="F218" s="301"/>
      <c r="G218" s="301"/>
      <c r="H218" s="301"/>
      <c r="I218" s="301"/>
      <c r="J218" s="301"/>
      <c r="K218" s="301"/>
      <c r="L218" s="301"/>
      <c r="N218" s="301"/>
      <c r="O218" s="301"/>
      <c r="P218" s="301"/>
      <c r="Q218" s="301"/>
      <c r="R218" s="301"/>
      <c r="S218" s="301"/>
      <c r="T218" s="301"/>
      <c r="U218" s="301"/>
      <c r="V218" s="301"/>
      <c r="W218" s="301"/>
      <c r="X218" s="301"/>
      <c r="Z218" s="301"/>
      <c r="AA218" s="301"/>
      <c r="AB218" s="301"/>
      <c r="AC218" s="301"/>
      <c r="AD218" s="301"/>
      <c r="AE218" s="301"/>
      <c r="AF218" s="301"/>
      <c r="AG218" s="301"/>
      <c r="AH218" s="301"/>
      <c r="AI218" s="301"/>
      <c r="AJ218" s="301"/>
    </row>
    <row r="219" spans="1:36" x14ac:dyDescent="0.3">
      <c r="A219" s="301"/>
      <c r="B219" s="301"/>
      <c r="C219" s="301"/>
      <c r="E219" s="301"/>
      <c r="F219" s="301"/>
      <c r="G219" s="301"/>
      <c r="H219" s="301"/>
      <c r="I219" s="301"/>
      <c r="J219" s="301"/>
      <c r="K219" s="301"/>
      <c r="L219" s="301"/>
      <c r="N219" s="301"/>
      <c r="O219" s="301"/>
      <c r="P219" s="301"/>
      <c r="Q219" s="301"/>
      <c r="R219" s="301"/>
      <c r="S219" s="301"/>
      <c r="T219" s="301"/>
      <c r="U219" s="301"/>
      <c r="V219" s="301"/>
      <c r="W219" s="301"/>
      <c r="X219" s="301"/>
      <c r="Z219" s="301"/>
      <c r="AA219" s="301"/>
      <c r="AB219" s="301"/>
      <c r="AC219" s="301"/>
      <c r="AD219" s="301"/>
      <c r="AE219" s="301"/>
      <c r="AF219" s="301"/>
      <c r="AG219" s="301"/>
      <c r="AH219" s="301"/>
      <c r="AI219" s="301"/>
      <c r="AJ219" s="301"/>
    </row>
    <row r="220" spans="1:36" x14ac:dyDescent="0.3">
      <c r="A220" s="301"/>
      <c r="B220" s="301"/>
      <c r="C220" s="301"/>
      <c r="E220" s="301"/>
      <c r="F220" s="301"/>
      <c r="G220" s="301"/>
      <c r="H220" s="301"/>
      <c r="I220" s="301"/>
      <c r="J220" s="301"/>
      <c r="K220" s="301"/>
      <c r="L220" s="301"/>
      <c r="N220" s="301"/>
      <c r="O220" s="301"/>
      <c r="P220" s="301"/>
      <c r="Q220" s="301"/>
      <c r="R220" s="301"/>
      <c r="S220" s="301"/>
      <c r="T220" s="301"/>
      <c r="U220" s="301"/>
      <c r="V220" s="301"/>
      <c r="W220" s="301"/>
      <c r="X220" s="301"/>
      <c r="Z220" s="301"/>
      <c r="AA220" s="301"/>
      <c r="AB220" s="301"/>
      <c r="AC220" s="301"/>
      <c r="AD220" s="301"/>
      <c r="AE220" s="301"/>
      <c r="AF220" s="301"/>
      <c r="AG220" s="301"/>
      <c r="AH220" s="301"/>
      <c r="AI220" s="301"/>
      <c r="AJ220" s="301"/>
    </row>
    <row r="221" spans="1:36" x14ac:dyDescent="0.3">
      <c r="A221" s="301"/>
      <c r="B221" s="301"/>
      <c r="C221" s="301"/>
      <c r="E221" s="301"/>
      <c r="F221" s="301"/>
      <c r="G221" s="301"/>
      <c r="H221" s="301"/>
      <c r="I221" s="301"/>
      <c r="J221" s="301"/>
      <c r="K221" s="301"/>
      <c r="L221" s="301"/>
      <c r="N221" s="301"/>
      <c r="O221" s="301"/>
      <c r="P221" s="301"/>
      <c r="Q221" s="301"/>
      <c r="R221" s="301"/>
      <c r="S221" s="301"/>
      <c r="T221" s="301"/>
      <c r="U221" s="301"/>
      <c r="V221" s="301"/>
      <c r="W221" s="301"/>
      <c r="X221" s="301"/>
      <c r="Z221" s="301"/>
      <c r="AA221" s="301"/>
      <c r="AB221" s="301"/>
      <c r="AC221" s="301"/>
      <c r="AD221" s="301"/>
      <c r="AE221" s="301"/>
      <c r="AF221" s="301"/>
      <c r="AG221" s="301"/>
      <c r="AH221" s="301"/>
      <c r="AI221" s="301"/>
      <c r="AJ221" s="301"/>
    </row>
    <row r="222" spans="1:36" x14ac:dyDescent="0.3">
      <c r="A222" s="301"/>
      <c r="B222" s="301"/>
      <c r="C222" s="301"/>
      <c r="E222" s="301"/>
      <c r="F222" s="301"/>
      <c r="G222" s="301"/>
      <c r="H222" s="301"/>
      <c r="I222" s="301"/>
      <c r="J222" s="301"/>
      <c r="K222" s="301"/>
      <c r="L222" s="301"/>
      <c r="N222" s="301"/>
      <c r="O222" s="301"/>
      <c r="P222" s="301"/>
      <c r="Q222" s="301"/>
      <c r="R222" s="301"/>
      <c r="S222" s="301"/>
      <c r="T222" s="301"/>
      <c r="U222" s="301"/>
      <c r="V222" s="301"/>
      <c r="W222" s="301"/>
      <c r="X222" s="301"/>
      <c r="Z222" s="301"/>
      <c r="AA222" s="301"/>
      <c r="AB222" s="301"/>
      <c r="AC222" s="301"/>
      <c r="AD222" s="301"/>
      <c r="AE222" s="301"/>
      <c r="AF222" s="301"/>
      <c r="AG222" s="301"/>
      <c r="AH222" s="301"/>
      <c r="AI222" s="301"/>
      <c r="AJ222" s="301"/>
    </row>
    <row r="223" spans="1:36" x14ac:dyDescent="0.3">
      <c r="A223" s="301"/>
      <c r="B223" s="301"/>
      <c r="C223" s="301"/>
      <c r="E223" s="301"/>
      <c r="F223" s="301"/>
      <c r="G223" s="301"/>
      <c r="H223" s="301"/>
      <c r="I223" s="301"/>
      <c r="J223" s="301"/>
      <c r="K223" s="301"/>
      <c r="L223" s="301"/>
      <c r="N223" s="301"/>
      <c r="O223" s="301"/>
      <c r="P223" s="301"/>
      <c r="Q223" s="301"/>
      <c r="R223" s="301"/>
      <c r="S223" s="301"/>
      <c r="T223" s="301"/>
      <c r="U223" s="301"/>
      <c r="V223" s="301"/>
      <c r="W223" s="301"/>
      <c r="X223" s="301"/>
      <c r="Z223" s="301"/>
      <c r="AA223" s="301"/>
      <c r="AB223" s="301"/>
      <c r="AC223" s="301"/>
      <c r="AD223" s="301"/>
      <c r="AE223" s="301"/>
      <c r="AF223" s="301"/>
      <c r="AG223" s="301"/>
      <c r="AH223" s="301"/>
      <c r="AI223" s="301"/>
      <c r="AJ223" s="301"/>
    </row>
    <row r="224" spans="1:36" x14ac:dyDescent="0.3">
      <c r="A224" s="301"/>
      <c r="B224" s="301"/>
      <c r="C224" s="301"/>
      <c r="E224" s="301"/>
      <c r="F224" s="301"/>
      <c r="G224" s="301"/>
      <c r="H224" s="301"/>
      <c r="I224" s="301"/>
      <c r="J224" s="301"/>
      <c r="K224" s="301"/>
      <c r="L224" s="301"/>
      <c r="N224" s="301"/>
      <c r="O224" s="301"/>
      <c r="P224" s="301"/>
      <c r="Q224" s="301"/>
      <c r="R224" s="301"/>
      <c r="S224" s="301"/>
      <c r="T224" s="301"/>
      <c r="U224" s="301"/>
      <c r="V224" s="301"/>
      <c r="W224" s="301"/>
      <c r="X224" s="301"/>
      <c r="Z224" s="301"/>
      <c r="AA224" s="301"/>
      <c r="AB224" s="301"/>
      <c r="AC224" s="301"/>
      <c r="AD224" s="301"/>
      <c r="AE224" s="301"/>
      <c r="AF224" s="301"/>
      <c r="AG224" s="301"/>
      <c r="AH224" s="301"/>
      <c r="AI224" s="301"/>
      <c r="AJ224" s="301"/>
    </row>
    <row r="225" spans="1:36" x14ac:dyDescent="0.3">
      <c r="A225" s="301"/>
      <c r="B225" s="301"/>
      <c r="C225" s="301"/>
      <c r="E225" s="301"/>
      <c r="F225" s="301"/>
      <c r="G225" s="301"/>
      <c r="H225" s="301"/>
      <c r="I225" s="301"/>
      <c r="J225" s="301"/>
      <c r="K225" s="301"/>
      <c r="L225" s="301"/>
      <c r="N225" s="301"/>
      <c r="O225" s="301"/>
      <c r="P225" s="301"/>
      <c r="Q225" s="301"/>
      <c r="R225" s="301"/>
      <c r="S225" s="301"/>
      <c r="T225" s="301"/>
      <c r="U225" s="301"/>
      <c r="V225" s="301"/>
      <c r="W225" s="301"/>
      <c r="X225" s="301"/>
      <c r="Z225" s="301"/>
      <c r="AA225" s="301"/>
      <c r="AB225" s="301"/>
      <c r="AC225" s="301"/>
      <c r="AD225" s="301"/>
      <c r="AE225" s="301"/>
      <c r="AF225" s="301"/>
      <c r="AG225" s="301"/>
      <c r="AH225" s="301"/>
      <c r="AI225" s="301"/>
      <c r="AJ225" s="301"/>
    </row>
    <row r="226" spans="1:36" x14ac:dyDescent="0.3">
      <c r="A226" s="301"/>
      <c r="B226" s="301"/>
      <c r="C226" s="301"/>
      <c r="E226" s="301"/>
      <c r="F226" s="301"/>
      <c r="G226" s="301"/>
      <c r="H226" s="301"/>
      <c r="I226" s="301"/>
      <c r="J226" s="301"/>
      <c r="K226" s="301"/>
      <c r="L226" s="301"/>
      <c r="N226" s="301"/>
      <c r="O226" s="301"/>
      <c r="P226" s="301"/>
      <c r="Q226" s="301"/>
      <c r="R226" s="301"/>
      <c r="S226" s="301"/>
      <c r="T226" s="301"/>
      <c r="U226" s="301"/>
      <c r="V226" s="301"/>
      <c r="W226" s="301"/>
      <c r="X226" s="301"/>
      <c r="Z226" s="301"/>
      <c r="AA226" s="301"/>
      <c r="AB226" s="301"/>
      <c r="AC226" s="301"/>
      <c r="AD226" s="301"/>
      <c r="AE226" s="301"/>
      <c r="AF226" s="301"/>
      <c r="AG226" s="301"/>
      <c r="AH226" s="301"/>
      <c r="AI226" s="301"/>
      <c r="AJ226" s="301"/>
    </row>
    <row r="227" spans="1:36" x14ac:dyDescent="0.3">
      <c r="A227" s="301"/>
      <c r="B227" s="301"/>
      <c r="C227" s="301"/>
      <c r="E227" s="301"/>
      <c r="F227" s="301"/>
      <c r="G227" s="301"/>
      <c r="H227" s="301"/>
      <c r="I227" s="301"/>
      <c r="J227" s="301"/>
      <c r="K227" s="301"/>
      <c r="L227" s="301"/>
      <c r="N227" s="301"/>
      <c r="O227" s="301"/>
      <c r="P227" s="301"/>
      <c r="Q227" s="301"/>
      <c r="R227" s="301"/>
      <c r="S227" s="301"/>
      <c r="T227" s="301"/>
      <c r="U227" s="301"/>
      <c r="V227" s="301"/>
      <c r="W227" s="301"/>
      <c r="X227" s="301"/>
      <c r="Z227" s="301"/>
      <c r="AA227" s="301"/>
      <c r="AB227" s="301"/>
      <c r="AC227" s="301"/>
      <c r="AD227" s="301"/>
      <c r="AE227" s="301"/>
      <c r="AF227" s="301"/>
      <c r="AG227" s="301"/>
      <c r="AH227" s="301"/>
      <c r="AI227" s="301"/>
      <c r="AJ227" s="301"/>
    </row>
    <row r="228" spans="1:36" x14ac:dyDescent="0.3">
      <c r="A228" s="301"/>
      <c r="B228" s="301"/>
      <c r="C228" s="301"/>
      <c r="E228" s="301"/>
      <c r="F228" s="301"/>
      <c r="G228" s="301"/>
      <c r="H228" s="301"/>
      <c r="I228" s="301"/>
      <c r="J228" s="301"/>
      <c r="K228" s="301"/>
      <c r="L228" s="301"/>
      <c r="N228" s="301"/>
      <c r="O228" s="301"/>
      <c r="P228" s="301"/>
      <c r="Q228" s="301"/>
      <c r="R228" s="301"/>
      <c r="S228" s="301"/>
      <c r="T228" s="301"/>
      <c r="U228" s="301"/>
      <c r="V228" s="301"/>
      <c r="W228" s="301"/>
      <c r="X228" s="301"/>
      <c r="Z228" s="301"/>
      <c r="AA228" s="301"/>
      <c r="AB228" s="301"/>
      <c r="AC228" s="301"/>
      <c r="AD228" s="301"/>
      <c r="AE228" s="301"/>
      <c r="AF228" s="301"/>
      <c r="AG228" s="301"/>
      <c r="AH228" s="301"/>
      <c r="AI228" s="301"/>
      <c r="AJ228" s="301"/>
    </row>
    <row r="229" spans="1:36" x14ac:dyDescent="0.3">
      <c r="A229" s="301"/>
      <c r="B229" s="301"/>
      <c r="C229" s="301"/>
      <c r="E229" s="301"/>
      <c r="F229" s="301"/>
      <c r="G229" s="301"/>
      <c r="H229" s="301"/>
      <c r="I229" s="301"/>
      <c r="J229" s="301"/>
      <c r="K229" s="301"/>
      <c r="L229" s="301"/>
      <c r="N229" s="301"/>
      <c r="O229" s="301"/>
      <c r="P229" s="301"/>
      <c r="Q229" s="301"/>
      <c r="R229" s="301"/>
      <c r="S229" s="301"/>
      <c r="T229" s="301"/>
      <c r="U229" s="301"/>
      <c r="V229" s="301"/>
      <c r="W229" s="301"/>
      <c r="X229" s="301"/>
      <c r="Z229" s="301"/>
      <c r="AA229" s="301"/>
      <c r="AB229" s="301"/>
      <c r="AC229" s="301"/>
      <c r="AD229" s="301"/>
      <c r="AE229" s="301"/>
      <c r="AF229" s="301"/>
      <c r="AG229" s="301"/>
      <c r="AH229" s="301"/>
      <c r="AI229" s="301"/>
      <c r="AJ229" s="301"/>
    </row>
    <row r="230" spans="1:36" x14ac:dyDescent="0.3">
      <c r="A230" s="301"/>
      <c r="B230" s="301"/>
      <c r="C230" s="301"/>
      <c r="E230" s="301"/>
      <c r="F230" s="301"/>
      <c r="G230" s="301"/>
      <c r="H230" s="301"/>
      <c r="I230" s="301"/>
      <c r="J230" s="301"/>
      <c r="K230" s="301"/>
      <c r="L230" s="301"/>
      <c r="N230" s="301"/>
      <c r="O230" s="301"/>
      <c r="P230" s="301"/>
      <c r="Q230" s="301"/>
      <c r="R230" s="301"/>
      <c r="S230" s="301"/>
      <c r="T230" s="301"/>
      <c r="U230" s="301"/>
      <c r="V230" s="301"/>
      <c r="W230" s="301"/>
      <c r="X230" s="301"/>
      <c r="Z230" s="301"/>
      <c r="AA230" s="301"/>
      <c r="AB230" s="301"/>
      <c r="AC230" s="301"/>
      <c r="AD230" s="301"/>
      <c r="AE230" s="301"/>
      <c r="AF230" s="301"/>
      <c r="AG230" s="301"/>
      <c r="AH230" s="301"/>
      <c r="AI230" s="301"/>
      <c r="AJ230" s="301"/>
    </row>
    <row r="231" spans="1:36" x14ac:dyDescent="0.3">
      <c r="A231" s="301"/>
      <c r="B231" s="301"/>
      <c r="C231" s="301"/>
      <c r="E231" s="301"/>
      <c r="F231" s="301"/>
      <c r="G231" s="301"/>
      <c r="H231" s="301"/>
      <c r="I231" s="301"/>
      <c r="J231" s="301"/>
      <c r="K231" s="301"/>
      <c r="L231" s="301"/>
      <c r="N231" s="301"/>
      <c r="O231" s="301"/>
      <c r="P231" s="301"/>
      <c r="Q231" s="301"/>
      <c r="R231" s="301"/>
      <c r="S231" s="301"/>
      <c r="T231" s="301"/>
      <c r="U231" s="301"/>
      <c r="V231" s="301"/>
      <c r="W231" s="301"/>
      <c r="X231" s="301"/>
      <c r="Z231" s="301"/>
      <c r="AA231" s="301"/>
      <c r="AB231" s="301"/>
      <c r="AC231" s="301"/>
      <c r="AD231" s="301"/>
      <c r="AE231" s="301"/>
      <c r="AF231" s="301"/>
      <c r="AG231" s="301"/>
      <c r="AH231" s="301"/>
      <c r="AI231" s="301"/>
      <c r="AJ231" s="301"/>
    </row>
    <row r="232" spans="1:36" x14ac:dyDescent="0.3">
      <c r="A232" s="301"/>
      <c r="B232" s="301"/>
      <c r="C232" s="301"/>
      <c r="E232" s="301"/>
      <c r="F232" s="301"/>
      <c r="G232" s="301"/>
      <c r="H232" s="301"/>
      <c r="I232" s="301"/>
      <c r="J232" s="301"/>
      <c r="K232" s="301"/>
      <c r="L232" s="301"/>
      <c r="N232" s="301"/>
      <c r="O232" s="301"/>
      <c r="P232" s="301"/>
      <c r="Q232" s="301"/>
      <c r="R232" s="301"/>
      <c r="S232" s="301"/>
      <c r="T232" s="301"/>
      <c r="U232" s="301"/>
      <c r="V232" s="301"/>
      <c r="W232" s="301"/>
      <c r="X232" s="301"/>
      <c r="Z232" s="301"/>
      <c r="AA232" s="301"/>
      <c r="AB232" s="301"/>
      <c r="AC232" s="301"/>
      <c r="AD232" s="301"/>
      <c r="AE232" s="301"/>
      <c r="AF232" s="301"/>
      <c r="AG232" s="301"/>
      <c r="AH232" s="301"/>
      <c r="AI232" s="301"/>
      <c r="AJ232" s="301"/>
    </row>
    <row r="233" spans="1:36" x14ac:dyDescent="0.3">
      <c r="A233" s="301"/>
      <c r="B233" s="301"/>
      <c r="C233" s="301"/>
      <c r="E233" s="301"/>
      <c r="F233" s="301"/>
      <c r="G233" s="301"/>
      <c r="H233" s="301"/>
      <c r="I233" s="301"/>
      <c r="J233" s="301"/>
      <c r="K233" s="301"/>
      <c r="L233" s="301"/>
      <c r="N233" s="301"/>
      <c r="O233" s="301"/>
      <c r="P233" s="301"/>
      <c r="Q233" s="301"/>
      <c r="R233" s="301"/>
      <c r="S233" s="301"/>
      <c r="T233" s="301"/>
      <c r="U233" s="301"/>
      <c r="V233" s="301"/>
      <c r="W233" s="301"/>
      <c r="X233" s="301"/>
      <c r="Z233" s="301"/>
      <c r="AA233" s="301"/>
      <c r="AB233" s="301"/>
      <c r="AC233" s="301"/>
      <c r="AD233" s="301"/>
      <c r="AE233" s="301"/>
      <c r="AF233" s="301"/>
      <c r="AG233" s="301"/>
      <c r="AH233" s="301"/>
      <c r="AI233" s="301"/>
      <c r="AJ233" s="301"/>
    </row>
    <row r="234" spans="1:36" x14ac:dyDescent="0.3">
      <c r="A234" s="301"/>
      <c r="B234" s="301"/>
      <c r="C234" s="301"/>
      <c r="E234" s="301"/>
      <c r="F234" s="301"/>
      <c r="G234" s="301"/>
      <c r="H234" s="301"/>
      <c r="I234" s="301"/>
      <c r="J234" s="301"/>
      <c r="K234" s="301"/>
      <c r="L234" s="301"/>
      <c r="N234" s="301"/>
      <c r="O234" s="301"/>
      <c r="P234" s="301"/>
      <c r="Q234" s="301"/>
      <c r="R234" s="301"/>
      <c r="S234" s="301"/>
      <c r="T234" s="301"/>
      <c r="U234" s="301"/>
      <c r="V234" s="301"/>
      <c r="W234" s="301"/>
      <c r="X234" s="301"/>
      <c r="Z234" s="301"/>
      <c r="AA234" s="301"/>
      <c r="AB234" s="301"/>
      <c r="AC234" s="301"/>
      <c r="AD234" s="301"/>
      <c r="AE234" s="301"/>
      <c r="AF234" s="301"/>
      <c r="AG234" s="301"/>
      <c r="AH234" s="301"/>
      <c r="AI234" s="301"/>
      <c r="AJ234" s="301"/>
    </row>
    <row r="235" spans="1:36" x14ac:dyDescent="0.3">
      <c r="A235" s="301"/>
      <c r="B235" s="301"/>
      <c r="C235" s="301"/>
      <c r="E235" s="301"/>
      <c r="F235" s="301"/>
      <c r="G235" s="301"/>
      <c r="H235" s="301"/>
      <c r="I235" s="301"/>
      <c r="J235" s="301"/>
      <c r="K235" s="301"/>
      <c r="L235" s="301"/>
      <c r="N235" s="301"/>
      <c r="O235" s="301"/>
      <c r="P235" s="301"/>
      <c r="Q235" s="301"/>
      <c r="R235" s="301"/>
      <c r="S235" s="301"/>
      <c r="T235" s="301"/>
      <c r="U235" s="301"/>
      <c r="V235" s="301"/>
      <c r="W235" s="301"/>
      <c r="X235" s="301"/>
      <c r="Z235" s="301"/>
      <c r="AA235" s="301"/>
      <c r="AB235" s="301"/>
      <c r="AC235" s="301"/>
      <c r="AD235" s="301"/>
      <c r="AE235" s="301"/>
      <c r="AF235" s="301"/>
      <c r="AG235" s="301"/>
      <c r="AH235" s="301"/>
      <c r="AI235" s="301"/>
      <c r="AJ235" s="301"/>
    </row>
    <row r="236" spans="1:36" x14ac:dyDescent="0.3">
      <c r="A236" s="301"/>
      <c r="B236" s="301"/>
      <c r="C236" s="301"/>
      <c r="E236" s="301"/>
      <c r="F236" s="301"/>
      <c r="G236" s="301"/>
      <c r="H236" s="301"/>
      <c r="I236" s="301"/>
      <c r="J236" s="301"/>
      <c r="K236" s="301"/>
      <c r="L236" s="301"/>
      <c r="N236" s="301"/>
      <c r="O236" s="301"/>
      <c r="P236" s="301"/>
      <c r="Q236" s="301"/>
      <c r="R236" s="301"/>
      <c r="S236" s="301"/>
      <c r="T236" s="301"/>
      <c r="U236" s="301"/>
      <c r="V236" s="301"/>
      <c r="W236" s="301"/>
      <c r="X236" s="301"/>
      <c r="Z236" s="301"/>
      <c r="AA236" s="301"/>
      <c r="AB236" s="301"/>
      <c r="AC236" s="301"/>
      <c r="AD236" s="301"/>
      <c r="AE236" s="301"/>
      <c r="AF236" s="301"/>
      <c r="AG236" s="301"/>
      <c r="AH236" s="301"/>
      <c r="AI236" s="301"/>
      <c r="AJ236" s="301"/>
    </row>
    <row r="237" spans="1:36" x14ac:dyDescent="0.3">
      <c r="A237" s="301"/>
      <c r="B237" s="301"/>
      <c r="C237" s="301"/>
      <c r="E237" s="301"/>
      <c r="F237" s="301"/>
      <c r="G237" s="301"/>
      <c r="H237" s="301"/>
      <c r="I237" s="301"/>
      <c r="J237" s="301"/>
      <c r="K237" s="301"/>
      <c r="L237" s="301"/>
      <c r="N237" s="301"/>
      <c r="O237" s="301"/>
      <c r="P237" s="301"/>
      <c r="Q237" s="301"/>
      <c r="R237" s="301"/>
      <c r="S237" s="301"/>
      <c r="T237" s="301"/>
      <c r="U237" s="301"/>
      <c r="V237" s="301"/>
      <c r="W237" s="301"/>
      <c r="X237" s="301"/>
      <c r="Z237" s="301"/>
      <c r="AA237" s="301"/>
      <c r="AB237" s="301"/>
      <c r="AC237" s="301"/>
      <c r="AD237" s="301"/>
      <c r="AE237" s="301"/>
      <c r="AF237" s="301"/>
      <c r="AG237" s="301"/>
      <c r="AH237" s="301"/>
      <c r="AI237" s="301"/>
      <c r="AJ237" s="301"/>
    </row>
    <row r="238" spans="1:36" x14ac:dyDescent="0.3">
      <c r="A238" s="301"/>
      <c r="B238" s="301"/>
      <c r="C238" s="301"/>
      <c r="E238" s="301"/>
      <c r="F238" s="301"/>
      <c r="G238" s="301"/>
      <c r="H238" s="301"/>
      <c r="I238" s="301"/>
      <c r="J238" s="301"/>
      <c r="K238" s="301"/>
      <c r="L238" s="301"/>
      <c r="N238" s="301"/>
      <c r="O238" s="301"/>
      <c r="P238" s="301"/>
      <c r="Q238" s="301"/>
      <c r="R238" s="301"/>
      <c r="S238" s="301"/>
      <c r="T238" s="301"/>
      <c r="U238" s="301"/>
      <c r="V238" s="301"/>
      <c r="W238" s="301"/>
      <c r="X238" s="301"/>
      <c r="Z238" s="301"/>
      <c r="AA238" s="301"/>
      <c r="AB238" s="301"/>
      <c r="AC238" s="301"/>
      <c r="AD238" s="301"/>
      <c r="AE238" s="301"/>
      <c r="AF238" s="301"/>
      <c r="AG238" s="301"/>
      <c r="AH238" s="301"/>
      <c r="AI238" s="301"/>
      <c r="AJ238" s="301"/>
    </row>
    <row r="239" spans="1:36" x14ac:dyDescent="0.3">
      <c r="A239" s="301"/>
      <c r="B239" s="301"/>
      <c r="C239" s="301"/>
      <c r="E239" s="301"/>
      <c r="F239" s="301"/>
      <c r="G239" s="301"/>
      <c r="H239" s="301"/>
      <c r="I239" s="301"/>
      <c r="J239" s="301"/>
      <c r="K239" s="301"/>
      <c r="L239" s="301"/>
      <c r="N239" s="301"/>
      <c r="O239" s="301"/>
      <c r="P239" s="301"/>
      <c r="Q239" s="301"/>
      <c r="R239" s="301"/>
      <c r="S239" s="301"/>
      <c r="T239" s="301"/>
      <c r="U239" s="301"/>
      <c r="V239" s="301"/>
      <c r="W239" s="301"/>
      <c r="X239" s="301"/>
      <c r="Z239" s="301"/>
      <c r="AA239" s="301"/>
      <c r="AB239" s="301"/>
      <c r="AC239" s="301"/>
      <c r="AD239" s="301"/>
      <c r="AE239" s="301"/>
      <c r="AF239" s="301"/>
      <c r="AG239" s="301"/>
      <c r="AH239" s="301"/>
      <c r="AI239" s="301"/>
      <c r="AJ239" s="301"/>
    </row>
    <row r="240" spans="1:36" x14ac:dyDescent="0.3">
      <c r="A240" s="301"/>
      <c r="B240" s="301"/>
      <c r="C240" s="301"/>
      <c r="E240" s="301"/>
      <c r="F240" s="301"/>
      <c r="G240" s="301"/>
      <c r="H240" s="301"/>
      <c r="I240" s="301"/>
      <c r="J240" s="301"/>
      <c r="K240" s="301"/>
      <c r="L240" s="301"/>
      <c r="N240" s="301"/>
      <c r="O240" s="301"/>
      <c r="P240" s="301"/>
      <c r="Q240" s="301"/>
      <c r="R240" s="301"/>
      <c r="S240" s="301"/>
      <c r="T240" s="301"/>
      <c r="U240" s="301"/>
      <c r="V240" s="301"/>
      <c r="W240" s="301"/>
      <c r="X240" s="301"/>
      <c r="Z240" s="301"/>
      <c r="AA240" s="301"/>
      <c r="AB240" s="301"/>
      <c r="AC240" s="301"/>
      <c r="AD240" s="301"/>
      <c r="AE240" s="301"/>
      <c r="AF240" s="301"/>
      <c r="AG240" s="301"/>
      <c r="AH240" s="301"/>
      <c r="AI240" s="301"/>
      <c r="AJ240" s="301"/>
    </row>
    <row r="241" spans="1:36" x14ac:dyDescent="0.3">
      <c r="A241" s="301"/>
      <c r="B241" s="301"/>
      <c r="C241" s="301"/>
      <c r="E241" s="301"/>
      <c r="F241" s="301"/>
      <c r="G241" s="301"/>
      <c r="H241" s="301"/>
      <c r="I241" s="301"/>
      <c r="J241" s="301"/>
      <c r="K241" s="301"/>
      <c r="L241" s="301"/>
      <c r="N241" s="301"/>
      <c r="O241" s="301"/>
      <c r="P241" s="301"/>
      <c r="Q241" s="301"/>
      <c r="R241" s="301"/>
      <c r="S241" s="301"/>
      <c r="T241" s="301"/>
      <c r="U241" s="301"/>
      <c r="V241" s="301"/>
      <c r="W241" s="301"/>
      <c r="X241" s="301"/>
      <c r="Z241" s="301"/>
      <c r="AA241" s="301"/>
      <c r="AB241" s="301"/>
      <c r="AC241" s="301"/>
      <c r="AD241" s="301"/>
      <c r="AE241" s="301"/>
      <c r="AF241" s="301"/>
      <c r="AG241" s="301"/>
      <c r="AH241" s="301"/>
      <c r="AI241" s="301"/>
      <c r="AJ241" s="301"/>
    </row>
    <row r="242" spans="1:36" x14ac:dyDescent="0.3">
      <c r="A242" s="301"/>
      <c r="B242" s="301"/>
      <c r="C242" s="301"/>
      <c r="E242" s="301"/>
      <c r="F242" s="301"/>
      <c r="G242" s="301"/>
      <c r="H242" s="301"/>
      <c r="I242" s="301"/>
      <c r="J242" s="301"/>
      <c r="K242" s="301"/>
      <c r="L242" s="301"/>
      <c r="N242" s="301"/>
      <c r="O242" s="301"/>
      <c r="P242" s="301"/>
      <c r="Q242" s="301"/>
      <c r="R242" s="301"/>
      <c r="S242" s="301"/>
      <c r="T242" s="301"/>
      <c r="U242" s="301"/>
      <c r="V242" s="301"/>
      <c r="W242" s="301"/>
      <c r="X242" s="301"/>
      <c r="Z242" s="301"/>
      <c r="AA242" s="301"/>
      <c r="AB242" s="301"/>
      <c r="AC242" s="301"/>
      <c r="AD242" s="301"/>
      <c r="AE242" s="301"/>
      <c r="AF242" s="301"/>
      <c r="AG242" s="301"/>
      <c r="AH242" s="301"/>
      <c r="AI242" s="301"/>
      <c r="AJ242" s="301"/>
    </row>
    <row r="243" spans="1:36" x14ac:dyDescent="0.3">
      <c r="A243" s="301"/>
      <c r="B243" s="301"/>
      <c r="C243" s="301"/>
      <c r="E243" s="301"/>
      <c r="F243" s="301"/>
      <c r="G243" s="301"/>
      <c r="H243" s="301"/>
      <c r="I243" s="301"/>
      <c r="J243" s="301"/>
      <c r="K243" s="301"/>
      <c r="L243" s="301"/>
      <c r="N243" s="301"/>
      <c r="O243" s="301"/>
      <c r="P243" s="301"/>
      <c r="Q243" s="301"/>
      <c r="R243" s="301"/>
      <c r="S243" s="301"/>
      <c r="T243" s="301"/>
      <c r="U243" s="301"/>
      <c r="V243" s="301"/>
      <c r="W243" s="301"/>
      <c r="X243" s="301"/>
      <c r="Z243" s="301"/>
      <c r="AA243" s="301"/>
      <c r="AB243" s="301"/>
      <c r="AC243" s="301"/>
      <c r="AD243" s="301"/>
      <c r="AE243" s="301"/>
      <c r="AF243" s="301"/>
      <c r="AG243" s="301"/>
      <c r="AH243" s="301"/>
      <c r="AI243" s="301"/>
      <c r="AJ243" s="301"/>
    </row>
    <row r="244" spans="1:36" x14ac:dyDescent="0.3">
      <c r="A244" s="301"/>
      <c r="B244" s="301"/>
      <c r="C244" s="301"/>
      <c r="E244" s="301"/>
      <c r="F244" s="301"/>
      <c r="G244" s="301"/>
      <c r="H244" s="301"/>
      <c r="I244" s="301"/>
      <c r="J244" s="301"/>
      <c r="K244" s="301"/>
      <c r="L244" s="301"/>
      <c r="N244" s="301"/>
      <c r="O244" s="301"/>
      <c r="P244" s="301"/>
      <c r="Q244" s="301"/>
      <c r="R244" s="301"/>
      <c r="S244" s="301"/>
      <c r="T244" s="301"/>
      <c r="U244" s="301"/>
      <c r="V244" s="301"/>
      <c r="W244" s="301"/>
      <c r="X244" s="301"/>
      <c r="Z244" s="301"/>
      <c r="AA244" s="301"/>
      <c r="AB244" s="301"/>
      <c r="AC244" s="301"/>
      <c r="AD244" s="301"/>
      <c r="AE244" s="301"/>
      <c r="AF244" s="301"/>
      <c r="AG244" s="301"/>
      <c r="AH244" s="301"/>
      <c r="AI244" s="301"/>
      <c r="AJ244" s="301"/>
    </row>
    <row r="245" spans="1:36" x14ac:dyDescent="0.3">
      <c r="A245" s="301"/>
      <c r="B245" s="301"/>
      <c r="C245" s="301"/>
      <c r="E245" s="301"/>
      <c r="F245" s="301"/>
      <c r="G245" s="301"/>
      <c r="H245" s="301"/>
      <c r="I245" s="301"/>
      <c r="J245" s="301"/>
      <c r="K245" s="301"/>
      <c r="L245" s="301"/>
      <c r="N245" s="301"/>
      <c r="O245" s="301"/>
      <c r="P245" s="301"/>
      <c r="Q245" s="301"/>
      <c r="R245" s="301"/>
      <c r="S245" s="301"/>
      <c r="T245" s="301"/>
      <c r="U245" s="301"/>
      <c r="V245" s="301"/>
      <c r="W245" s="301"/>
      <c r="X245" s="301"/>
      <c r="Z245" s="301"/>
      <c r="AA245" s="301"/>
      <c r="AB245" s="301"/>
      <c r="AC245" s="301"/>
      <c r="AD245" s="301"/>
      <c r="AE245" s="301"/>
      <c r="AF245" s="301"/>
      <c r="AG245" s="301"/>
      <c r="AH245" s="301"/>
      <c r="AI245" s="301"/>
      <c r="AJ245" s="301"/>
    </row>
    <row r="246" spans="1:36" x14ac:dyDescent="0.3">
      <c r="A246" s="301"/>
      <c r="B246" s="301"/>
      <c r="C246" s="301"/>
      <c r="E246" s="301"/>
      <c r="F246" s="301"/>
      <c r="G246" s="301"/>
      <c r="H246" s="301"/>
      <c r="I246" s="301"/>
      <c r="J246" s="301"/>
      <c r="K246" s="301"/>
      <c r="L246" s="301"/>
      <c r="N246" s="301"/>
      <c r="O246" s="301"/>
      <c r="P246" s="301"/>
      <c r="Q246" s="301"/>
      <c r="R246" s="301"/>
      <c r="S246" s="301"/>
      <c r="T246" s="301"/>
      <c r="U246" s="301"/>
      <c r="V246" s="301"/>
      <c r="W246" s="301"/>
      <c r="X246" s="301"/>
      <c r="Z246" s="301"/>
      <c r="AA246" s="301"/>
      <c r="AB246" s="301"/>
      <c r="AC246" s="301"/>
      <c r="AD246" s="301"/>
      <c r="AE246" s="301"/>
      <c r="AF246" s="301"/>
      <c r="AG246" s="301"/>
      <c r="AH246" s="301"/>
      <c r="AI246" s="301"/>
      <c r="AJ246" s="301"/>
    </row>
    <row r="247" spans="1:36" x14ac:dyDescent="0.3">
      <c r="A247" s="301"/>
      <c r="B247" s="301"/>
      <c r="C247" s="301"/>
      <c r="E247" s="301"/>
      <c r="F247" s="301"/>
      <c r="G247" s="301"/>
      <c r="H247" s="301"/>
      <c r="I247" s="301"/>
      <c r="J247" s="301"/>
      <c r="K247" s="301"/>
      <c r="L247" s="301"/>
      <c r="N247" s="301"/>
      <c r="O247" s="301"/>
      <c r="P247" s="301"/>
      <c r="Q247" s="301"/>
      <c r="R247" s="301"/>
      <c r="S247" s="301"/>
      <c r="T247" s="301"/>
      <c r="U247" s="301"/>
      <c r="V247" s="301"/>
      <c r="W247" s="301"/>
      <c r="X247" s="301"/>
      <c r="Z247" s="301"/>
      <c r="AA247" s="301"/>
      <c r="AB247" s="301"/>
      <c r="AC247" s="301"/>
      <c r="AD247" s="301"/>
      <c r="AE247" s="301"/>
      <c r="AF247" s="301"/>
      <c r="AG247" s="301"/>
      <c r="AH247" s="301"/>
      <c r="AI247" s="301"/>
      <c r="AJ247" s="301"/>
    </row>
    <row r="248" spans="1:36" x14ac:dyDescent="0.3">
      <c r="A248" s="301"/>
      <c r="B248" s="301"/>
      <c r="C248" s="301"/>
      <c r="E248" s="301"/>
      <c r="F248" s="301"/>
      <c r="G248" s="301"/>
      <c r="H248" s="301"/>
      <c r="I248" s="301"/>
      <c r="J248" s="301"/>
      <c r="K248" s="301"/>
      <c r="L248" s="301"/>
      <c r="N248" s="301"/>
      <c r="O248" s="301"/>
      <c r="P248" s="301"/>
      <c r="Q248" s="301"/>
      <c r="R248" s="301"/>
      <c r="S248" s="301"/>
      <c r="T248" s="301"/>
      <c r="U248" s="301"/>
      <c r="V248" s="301"/>
      <c r="W248" s="301"/>
      <c r="X248" s="301"/>
      <c r="Z248" s="301"/>
      <c r="AA248" s="301"/>
      <c r="AB248" s="301"/>
      <c r="AC248" s="301"/>
      <c r="AD248" s="301"/>
      <c r="AE248" s="301"/>
      <c r="AF248" s="301"/>
      <c r="AG248" s="301"/>
      <c r="AH248" s="301"/>
      <c r="AI248" s="301"/>
      <c r="AJ248" s="301"/>
    </row>
    <row r="249" spans="1:36" x14ac:dyDescent="0.3">
      <c r="A249" s="301"/>
      <c r="B249" s="301"/>
      <c r="C249" s="301"/>
      <c r="E249" s="301"/>
      <c r="F249" s="301"/>
      <c r="G249" s="301"/>
      <c r="H249" s="301"/>
      <c r="I249" s="301"/>
      <c r="J249" s="301"/>
      <c r="K249" s="301"/>
      <c r="L249" s="301"/>
      <c r="N249" s="301"/>
      <c r="O249" s="301"/>
      <c r="P249" s="301"/>
      <c r="Q249" s="301"/>
      <c r="R249" s="301"/>
      <c r="S249" s="301"/>
      <c r="T249" s="301"/>
      <c r="U249" s="301"/>
      <c r="V249" s="301"/>
      <c r="W249" s="301"/>
      <c r="X249" s="301"/>
      <c r="Z249" s="301"/>
      <c r="AA249" s="301"/>
      <c r="AB249" s="301"/>
      <c r="AC249" s="301"/>
      <c r="AD249" s="301"/>
      <c r="AE249" s="301"/>
      <c r="AF249" s="301"/>
      <c r="AG249" s="301"/>
      <c r="AH249" s="301"/>
      <c r="AI249" s="301"/>
      <c r="AJ249" s="301"/>
    </row>
    <row r="250" spans="1:36" x14ac:dyDescent="0.3">
      <c r="A250" s="301"/>
      <c r="B250" s="301"/>
      <c r="C250" s="301"/>
      <c r="E250" s="301"/>
      <c r="F250" s="301"/>
      <c r="G250" s="301"/>
      <c r="H250" s="301"/>
      <c r="I250" s="301"/>
      <c r="J250" s="301"/>
      <c r="K250" s="301"/>
      <c r="L250" s="301"/>
      <c r="N250" s="301"/>
      <c r="O250" s="301"/>
      <c r="P250" s="301"/>
      <c r="Q250" s="301"/>
      <c r="R250" s="301"/>
      <c r="S250" s="301"/>
      <c r="T250" s="301"/>
      <c r="U250" s="301"/>
      <c r="V250" s="301"/>
      <c r="W250" s="301"/>
      <c r="X250" s="301"/>
      <c r="Z250" s="301"/>
      <c r="AA250" s="301"/>
      <c r="AB250" s="301"/>
      <c r="AC250" s="301"/>
      <c r="AD250" s="301"/>
      <c r="AE250" s="301"/>
      <c r="AF250" s="301"/>
      <c r="AG250" s="301"/>
      <c r="AH250" s="301"/>
      <c r="AI250" s="301"/>
      <c r="AJ250" s="301"/>
    </row>
    <row r="251" spans="1:36" x14ac:dyDescent="0.3">
      <c r="A251" s="301"/>
      <c r="B251" s="301"/>
      <c r="C251" s="301"/>
      <c r="E251" s="301"/>
      <c r="F251" s="301"/>
      <c r="G251" s="301"/>
      <c r="H251" s="301"/>
      <c r="I251" s="301"/>
      <c r="J251" s="301"/>
      <c r="K251" s="301"/>
      <c r="L251" s="301"/>
      <c r="N251" s="301"/>
      <c r="O251" s="301"/>
      <c r="P251" s="301"/>
      <c r="Q251" s="301"/>
      <c r="R251" s="301"/>
      <c r="S251" s="301"/>
      <c r="T251" s="301"/>
      <c r="U251" s="301"/>
      <c r="V251" s="301"/>
      <c r="W251" s="301"/>
      <c r="X251" s="301"/>
      <c r="Z251" s="301"/>
      <c r="AA251" s="301"/>
      <c r="AB251" s="301"/>
      <c r="AC251" s="301"/>
      <c r="AD251" s="301"/>
      <c r="AE251" s="301"/>
      <c r="AF251" s="301"/>
      <c r="AG251" s="301"/>
      <c r="AH251" s="301"/>
      <c r="AI251" s="301"/>
      <c r="AJ251" s="301"/>
    </row>
    <row r="252" spans="1:36" x14ac:dyDescent="0.3">
      <c r="A252" s="301"/>
      <c r="B252" s="301"/>
      <c r="C252" s="301"/>
      <c r="E252" s="301"/>
      <c r="F252" s="301"/>
      <c r="G252" s="301"/>
      <c r="H252" s="301"/>
      <c r="I252" s="301"/>
      <c r="J252" s="301"/>
      <c r="K252" s="301"/>
      <c r="L252" s="301"/>
      <c r="N252" s="301"/>
      <c r="O252" s="301"/>
      <c r="P252" s="301"/>
      <c r="Q252" s="301"/>
      <c r="R252" s="301"/>
      <c r="S252" s="301"/>
      <c r="T252" s="301"/>
      <c r="U252" s="301"/>
      <c r="V252" s="301"/>
      <c r="W252" s="301"/>
      <c r="X252" s="301"/>
      <c r="Z252" s="301"/>
      <c r="AA252" s="301"/>
      <c r="AB252" s="301"/>
      <c r="AC252" s="301"/>
      <c r="AD252" s="301"/>
      <c r="AE252" s="301"/>
      <c r="AF252" s="301"/>
      <c r="AG252" s="301"/>
      <c r="AH252" s="301"/>
      <c r="AI252" s="301"/>
      <c r="AJ252" s="301"/>
    </row>
    <row r="253" spans="1:36" x14ac:dyDescent="0.3">
      <c r="A253" s="301"/>
      <c r="B253" s="301"/>
      <c r="C253" s="301"/>
      <c r="E253" s="301"/>
      <c r="F253" s="301"/>
      <c r="G253" s="301"/>
      <c r="H253" s="301"/>
      <c r="I253" s="301"/>
      <c r="J253" s="301"/>
      <c r="K253" s="301"/>
      <c r="L253" s="301"/>
      <c r="N253" s="301"/>
      <c r="O253" s="301"/>
      <c r="P253" s="301"/>
      <c r="Q253" s="301"/>
      <c r="R253" s="301"/>
      <c r="S253" s="301"/>
      <c r="T253" s="301"/>
      <c r="U253" s="301"/>
      <c r="V253" s="301"/>
      <c r="W253" s="301"/>
      <c r="X253" s="301"/>
      <c r="Z253" s="301"/>
      <c r="AA253" s="301"/>
      <c r="AB253" s="301"/>
      <c r="AC253" s="301"/>
      <c r="AD253" s="301"/>
      <c r="AE253" s="301"/>
      <c r="AF253" s="301"/>
      <c r="AG253" s="301"/>
      <c r="AH253" s="301"/>
      <c r="AI253" s="301"/>
      <c r="AJ253" s="301"/>
    </row>
    <row r="254" spans="1:36" x14ac:dyDescent="0.3">
      <c r="A254" s="301"/>
      <c r="B254" s="301"/>
      <c r="C254" s="301"/>
      <c r="E254" s="301"/>
      <c r="F254" s="301"/>
      <c r="G254" s="301"/>
      <c r="H254" s="301"/>
      <c r="I254" s="301"/>
      <c r="J254" s="301"/>
      <c r="K254" s="301"/>
      <c r="L254" s="301"/>
      <c r="N254" s="301"/>
      <c r="O254" s="301"/>
      <c r="P254" s="301"/>
      <c r="Q254" s="301"/>
      <c r="R254" s="301"/>
      <c r="S254" s="301"/>
      <c r="T254" s="301"/>
      <c r="U254" s="301"/>
      <c r="V254" s="301"/>
      <c r="W254" s="301"/>
      <c r="X254" s="301"/>
      <c r="Z254" s="301"/>
      <c r="AA254" s="301"/>
      <c r="AB254" s="301"/>
      <c r="AC254" s="301"/>
      <c r="AD254" s="301"/>
      <c r="AE254" s="301"/>
      <c r="AF254" s="301"/>
      <c r="AG254" s="301"/>
      <c r="AH254" s="301"/>
      <c r="AI254" s="301"/>
      <c r="AJ254" s="301"/>
    </row>
    <row r="255" spans="1:36" x14ac:dyDescent="0.3">
      <c r="A255" s="301"/>
      <c r="B255" s="301"/>
      <c r="C255" s="301"/>
      <c r="E255" s="301"/>
      <c r="F255" s="301"/>
      <c r="G255" s="301"/>
      <c r="H255" s="301"/>
      <c r="I255" s="301"/>
      <c r="J255" s="301"/>
      <c r="K255" s="301"/>
      <c r="L255" s="301"/>
      <c r="N255" s="301"/>
      <c r="O255" s="301"/>
      <c r="P255" s="301"/>
      <c r="Q255" s="301"/>
      <c r="R255" s="301"/>
      <c r="S255" s="301"/>
      <c r="T255" s="301"/>
      <c r="U255" s="301"/>
      <c r="V255" s="301"/>
      <c r="W255" s="301"/>
      <c r="X255" s="301"/>
      <c r="Z255" s="301"/>
      <c r="AA255" s="301"/>
      <c r="AB255" s="301"/>
      <c r="AC255" s="301"/>
      <c r="AD255" s="301"/>
      <c r="AE255" s="301"/>
      <c r="AF255" s="301"/>
      <c r="AG255" s="301"/>
      <c r="AH255" s="301"/>
      <c r="AI255" s="301"/>
      <c r="AJ255" s="301"/>
    </row>
    <row r="256" spans="1:36" x14ac:dyDescent="0.3">
      <c r="A256" s="301"/>
      <c r="B256" s="301"/>
      <c r="C256" s="301"/>
      <c r="E256" s="301"/>
      <c r="F256" s="301"/>
      <c r="G256" s="301"/>
      <c r="H256" s="301"/>
      <c r="I256" s="301"/>
      <c r="J256" s="301"/>
      <c r="K256" s="301"/>
      <c r="L256" s="301"/>
      <c r="N256" s="301"/>
      <c r="O256" s="301"/>
      <c r="P256" s="301"/>
      <c r="Q256" s="301"/>
      <c r="R256" s="301"/>
      <c r="S256" s="301"/>
      <c r="T256" s="301"/>
      <c r="U256" s="301"/>
      <c r="V256" s="301"/>
      <c r="W256" s="301"/>
      <c r="X256" s="301"/>
      <c r="Z256" s="301"/>
      <c r="AA256" s="301"/>
      <c r="AB256" s="301"/>
      <c r="AC256" s="301"/>
      <c r="AD256" s="301"/>
      <c r="AE256" s="301"/>
      <c r="AF256" s="301"/>
      <c r="AG256" s="301"/>
      <c r="AH256" s="301"/>
      <c r="AI256" s="301"/>
      <c r="AJ256" s="301"/>
    </row>
    <row r="257" spans="1:36" x14ac:dyDescent="0.3">
      <c r="A257" s="301"/>
      <c r="B257" s="301"/>
      <c r="C257" s="301"/>
      <c r="E257" s="301"/>
      <c r="F257" s="301"/>
      <c r="G257" s="301"/>
      <c r="H257" s="301"/>
      <c r="I257" s="301"/>
      <c r="J257" s="301"/>
      <c r="K257" s="301"/>
      <c r="L257" s="301"/>
      <c r="N257" s="301"/>
      <c r="O257" s="301"/>
      <c r="P257" s="301"/>
      <c r="Q257" s="301"/>
      <c r="R257" s="301"/>
      <c r="S257" s="301"/>
      <c r="T257" s="301"/>
      <c r="U257" s="301"/>
      <c r="V257" s="301"/>
      <c r="W257" s="301"/>
      <c r="X257" s="301"/>
      <c r="Z257" s="301"/>
      <c r="AA257" s="301"/>
      <c r="AB257" s="301"/>
      <c r="AC257" s="301"/>
      <c r="AD257" s="301"/>
      <c r="AE257" s="301"/>
      <c r="AF257" s="301"/>
      <c r="AG257" s="301"/>
      <c r="AH257" s="301"/>
      <c r="AI257" s="301"/>
      <c r="AJ257" s="301"/>
    </row>
    <row r="258" spans="1:36" x14ac:dyDescent="0.3">
      <c r="A258" s="301"/>
      <c r="B258" s="301"/>
      <c r="C258" s="301"/>
      <c r="E258" s="301"/>
      <c r="F258" s="301"/>
      <c r="G258" s="301"/>
      <c r="H258" s="301"/>
      <c r="I258" s="301"/>
      <c r="J258" s="301"/>
      <c r="K258" s="301"/>
      <c r="L258" s="301"/>
      <c r="N258" s="301"/>
      <c r="O258" s="301"/>
      <c r="P258" s="301"/>
      <c r="Q258" s="301"/>
      <c r="R258" s="301"/>
      <c r="S258" s="301"/>
      <c r="T258" s="301"/>
      <c r="U258" s="301"/>
      <c r="V258" s="301"/>
      <c r="W258" s="301"/>
      <c r="X258" s="301"/>
      <c r="Z258" s="301"/>
      <c r="AA258" s="301"/>
      <c r="AB258" s="301"/>
      <c r="AC258" s="301"/>
      <c r="AD258" s="301"/>
      <c r="AE258" s="301"/>
      <c r="AF258" s="301"/>
      <c r="AG258" s="301"/>
      <c r="AH258" s="301"/>
      <c r="AI258" s="301"/>
      <c r="AJ258" s="301"/>
    </row>
    <row r="259" spans="1:36" x14ac:dyDescent="0.3">
      <c r="A259" s="301"/>
      <c r="B259" s="301"/>
      <c r="C259" s="301"/>
      <c r="E259" s="301"/>
      <c r="F259" s="301"/>
      <c r="G259" s="301"/>
      <c r="H259" s="301"/>
      <c r="I259" s="301"/>
      <c r="J259" s="301"/>
      <c r="K259" s="301"/>
      <c r="L259" s="301"/>
      <c r="N259" s="301"/>
      <c r="O259" s="301"/>
      <c r="P259" s="301"/>
      <c r="Q259" s="301"/>
      <c r="R259" s="301"/>
      <c r="S259" s="301"/>
      <c r="T259" s="301"/>
      <c r="U259" s="301"/>
      <c r="V259" s="301"/>
      <c r="W259" s="301"/>
      <c r="X259" s="301"/>
      <c r="Z259" s="301"/>
      <c r="AA259" s="301"/>
      <c r="AB259" s="301"/>
      <c r="AC259" s="301"/>
      <c r="AD259" s="301"/>
      <c r="AE259" s="301"/>
      <c r="AF259" s="301"/>
      <c r="AG259" s="301"/>
      <c r="AH259" s="301"/>
      <c r="AI259" s="301"/>
      <c r="AJ259" s="301"/>
    </row>
    <row r="260" spans="1:36" x14ac:dyDescent="0.3">
      <c r="A260" s="301"/>
      <c r="B260" s="301"/>
      <c r="C260" s="301"/>
      <c r="E260" s="301"/>
      <c r="F260" s="301"/>
      <c r="G260" s="301"/>
      <c r="H260" s="301"/>
      <c r="I260" s="301"/>
      <c r="J260" s="301"/>
      <c r="K260" s="301"/>
      <c r="L260" s="301"/>
      <c r="N260" s="301"/>
      <c r="O260" s="301"/>
      <c r="P260" s="301"/>
      <c r="Q260" s="301"/>
      <c r="R260" s="301"/>
      <c r="S260" s="301"/>
      <c r="T260" s="301"/>
      <c r="U260" s="301"/>
      <c r="V260" s="301"/>
      <c r="W260" s="301"/>
      <c r="X260" s="301"/>
      <c r="Z260" s="301"/>
      <c r="AA260" s="301"/>
      <c r="AB260" s="301"/>
      <c r="AC260" s="301"/>
      <c r="AD260" s="301"/>
      <c r="AE260" s="301"/>
      <c r="AF260" s="301"/>
      <c r="AG260" s="301"/>
      <c r="AH260" s="301"/>
      <c r="AI260" s="301"/>
      <c r="AJ260" s="301"/>
    </row>
    <row r="261" spans="1:36" x14ac:dyDescent="0.3">
      <c r="A261" s="301"/>
      <c r="B261" s="301"/>
      <c r="C261" s="301"/>
      <c r="E261" s="301"/>
      <c r="F261" s="301"/>
      <c r="G261" s="301"/>
      <c r="H261" s="301"/>
      <c r="I261" s="301"/>
      <c r="J261" s="301"/>
      <c r="K261" s="301"/>
      <c r="L261" s="301"/>
      <c r="N261" s="301"/>
      <c r="O261" s="301"/>
      <c r="P261" s="301"/>
      <c r="Q261" s="301"/>
      <c r="R261" s="301"/>
      <c r="S261" s="301"/>
      <c r="T261" s="301"/>
      <c r="U261" s="301"/>
      <c r="V261" s="301"/>
      <c r="W261" s="301"/>
      <c r="X261" s="301"/>
      <c r="Z261" s="301"/>
      <c r="AA261" s="301"/>
      <c r="AB261" s="301"/>
      <c r="AC261" s="301"/>
      <c r="AD261" s="301"/>
      <c r="AE261" s="301"/>
      <c r="AF261" s="301"/>
      <c r="AG261" s="301"/>
      <c r="AH261" s="301"/>
      <c r="AI261" s="301"/>
      <c r="AJ261" s="301"/>
    </row>
    <row r="262" spans="1:36" x14ac:dyDescent="0.3">
      <c r="A262" s="301"/>
      <c r="B262" s="301"/>
      <c r="C262" s="301"/>
      <c r="E262" s="301"/>
      <c r="F262" s="301"/>
      <c r="G262" s="301"/>
      <c r="H262" s="301"/>
      <c r="I262" s="301"/>
      <c r="J262" s="301"/>
      <c r="K262" s="301"/>
      <c r="L262" s="301"/>
      <c r="N262" s="301"/>
      <c r="O262" s="301"/>
      <c r="P262" s="301"/>
      <c r="Q262" s="301"/>
      <c r="R262" s="301"/>
      <c r="S262" s="301"/>
      <c r="T262" s="301"/>
      <c r="U262" s="301"/>
      <c r="V262" s="301"/>
      <c r="W262" s="301"/>
      <c r="X262" s="301"/>
      <c r="Z262" s="301"/>
      <c r="AA262" s="301"/>
      <c r="AB262" s="301"/>
      <c r="AC262" s="301"/>
      <c r="AD262" s="301"/>
      <c r="AE262" s="301"/>
      <c r="AF262" s="301"/>
      <c r="AG262" s="301"/>
      <c r="AH262" s="301"/>
      <c r="AI262" s="301"/>
      <c r="AJ262" s="301"/>
    </row>
    <row r="263" spans="1:36" x14ac:dyDescent="0.3">
      <c r="A263" s="301"/>
      <c r="B263" s="301"/>
      <c r="C263" s="301"/>
      <c r="E263" s="301"/>
      <c r="F263" s="301"/>
      <c r="G263" s="301"/>
      <c r="H263" s="301"/>
      <c r="I263" s="301"/>
      <c r="J263" s="301"/>
      <c r="K263" s="301"/>
      <c r="L263" s="301"/>
      <c r="N263" s="301"/>
      <c r="O263" s="301"/>
      <c r="P263" s="301"/>
      <c r="Q263" s="301"/>
      <c r="R263" s="301"/>
      <c r="S263" s="301"/>
      <c r="T263" s="301"/>
      <c r="U263" s="301"/>
      <c r="V263" s="301"/>
      <c r="W263" s="301"/>
      <c r="X263" s="301"/>
      <c r="Z263" s="301"/>
      <c r="AA263" s="301"/>
      <c r="AB263" s="301"/>
      <c r="AC263" s="301"/>
      <c r="AD263" s="301"/>
      <c r="AE263" s="301"/>
      <c r="AF263" s="301"/>
      <c r="AG263" s="301"/>
      <c r="AH263" s="301"/>
      <c r="AI263" s="301"/>
      <c r="AJ263" s="301"/>
    </row>
    <row r="264" spans="1:36" x14ac:dyDescent="0.3">
      <c r="A264" s="301"/>
      <c r="B264" s="301"/>
      <c r="C264" s="301"/>
      <c r="E264" s="301"/>
      <c r="F264" s="301"/>
      <c r="G264" s="301"/>
      <c r="H264" s="301"/>
      <c r="I264" s="301"/>
      <c r="J264" s="301"/>
      <c r="K264" s="301"/>
      <c r="L264" s="301"/>
      <c r="N264" s="301"/>
      <c r="O264" s="301"/>
      <c r="P264" s="301"/>
      <c r="Q264" s="301"/>
      <c r="R264" s="301"/>
      <c r="S264" s="301"/>
      <c r="T264" s="301"/>
      <c r="U264" s="301"/>
      <c r="V264" s="301"/>
      <c r="W264" s="301"/>
      <c r="X264" s="301"/>
      <c r="Z264" s="301"/>
      <c r="AA264" s="301"/>
      <c r="AB264" s="301"/>
      <c r="AC264" s="301"/>
      <c r="AD264" s="301"/>
      <c r="AE264" s="301"/>
      <c r="AF264" s="301"/>
      <c r="AG264" s="301"/>
      <c r="AH264" s="301"/>
      <c r="AI264" s="301"/>
      <c r="AJ264" s="301"/>
    </row>
    <row r="265" spans="1:36" x14ac:dyDescent="0.3">
      <c r="A265" s="301"/>
      <c r="B265" s="301"/>
      <c r="C265" s="301"/>
      <c r="E265" s="301"/>
      <c r="F265" s="301"/>
      <c r="G265" s="301"/>
      <c r="H265" s="301"/>
      <c r="I265" s="301"/>
      <c r="J265" s="301"/>
      <c r="K265" s="301"/>
      <c r="L265" s="301"/>
      <c r="N265" s="301"/>
      <c r="O265" s="301"/>
      <c r="P265" s="301"/>
      <c r="Q265" s="301"/>
      <c r="R265" s="301"/>
      <c r="S265" s="301"/>
      <c r="T265" s="301"/>
      <c r="U265" s="301"/>
      <c r="V265" s="301"/>
      <c r="W265" s="301"/>
      <c r="X265" s="301"/>
      <c r="Z265" s="301"/>
      <c r="AA265" s="301"/>
      <c r="AB265" s="301"/>
      <c r="AC265" s="301"/>
      <c r="AD265" s="301"/>
      <c r="AE265" s="301"/>
      <c r="AF265" s="301"/>
      <c r="AG265" s="301"/>
      <c r="AH265" s="301"/>
      <c r="AI265" s="301"/>
      <c r="AJ265" s="301"/>
    </row>
    <row r="266" spans="1:36" x14ac:dyDescent="0.3">
      <c r="A266" s="301"/>
      <c r="B266" s="301"/>
      <c r="C266" s="301"/>
      <c r="E266" s="301"/>
      <c r="F266" s="301"/>
      <c r="G266" s="301"/>
      <c r="H266" s="301"/>
      <c r="I266" s="301"/>
      <c r="J266" s="301"/>
      <c r="K266" s="301"/>
      <c r="L266" s="301"/>
      <c r="N266" s="301"/>
      <c r="O266" s="301"/>
      <c r="P266" s="301"/>
      <c r="Q266" s="301"/>
      <c r="R266" s="301"/>
      <c r="S266" s="301"/>
      <c r="T266" s="301"/>
      <c r="U266" s="301"/>
      <c r="V266" s="301"/>
      <c r="W266" s="301"/>
      <c r="X266" s="301"/>
      <c r="Z266" s="301"/>
      <c r="AA266" s="301"/>
      <c r="AB266" s="301"/>
      <c r="AC266" s="301"/>
      <c r="AD266" s="301"/>
      <c r="AE266" s="301"/>
      <c r="AF266" s="301"/>
      <c r="AG266" s="301"/>
      <c r="AH266" s="301"/>
      <c r="AI266" s="301"/>
      <c r="AJ266" s="301"/>
    </row>
    <row r="267" spans="1:36" x14ac:dyDescent="0.3">
      <c r="A267" s="301"/>
      <c r="B267" s="301"/>
      <c r="C267" s="301"/>
      <c r="E267" s="301"/>
      <c r="F267" s="301"/>
      <c r="G267" s="301"/>
      <c r="H267" s="301"/>
      <c r="I267" s="301"/>
      <c r="J267" s="301"/>
      <c r="K267" s="301"/>
      <c r="L267" s="301"/>
      <c r="N267" s="301"/>
      <c r="O267" s="301"/>
      <c r="P267" s="301"/>
      <c r="Q267" s="301"/>
      <c r="R267" s="301"/>
      <c r="S267" s="301"/>
      <c r="T267" s="301"/>
      <c r="U267" s="301"/>
      <c r="V267" s="301"/>
      <c r="W267" s="301"/>
      <c r="X267" s="301"/>
      <c r="Z267" s="301"/>
      <c r="AA267" s="301"/>
      <c r="AB267" s="301"/>
      <c r="AC267" s="301"/>
      <c r="AD267" s="301"/>
      <c r="AE267" s="301"/>
      <c r="AF267" s="301"/>
      <c r="AG267" s="301"/>
      <c r="AH267" s="301"/>
      <c r="AI267" s="301"/>
      <c r="AJ267" s="301"/>
    </row>
    <row r="268" spans="1:36" x14ac:dyDescent="0.3">
      <c r="A268" s="301"/>
      <c r="B268" s="301"/>
      <c r="C268" s="301"/>
      <c r="E268" s="301"/>
      <c r="F268" s="301"/>
      <c r="G268" s="301"/>
      <c r="H268" s="301"/>
      <c r="I268" s="301"/>
      <c r="J268" s="301"/>
      <c r="K268" s="301"/>
      <c r="L268" s="301"/>
      <c r="N268" s="301"/>
      <c r="O268" s="301"/>
      <c r="P268" s="301"/>
      <c r="Q268" s="301"/>
      <c r="R268" s="301"/>
      <c r="S268" s="301"/>
      <c r="T268" s="301"/>
      <c r="U268" s="301"/>
      <c r="V268" s="301"/>
      <c r="W268" s="301"/>
      <c r="X268" s="301"/>
      <c r="Z268" s="301"/>
      <c r="AA268" s="301"/>
      <c r="AB268" s="301"/>
      <c r="AC268" s="301"/>
      <c r="AD268" s="301"/>
      <c r="AE268" s="301"/>
      <c r="AF268" s="301"/>
      <c r="AG268" s="301"/>
      <c r="AH268" s="301"/>
      <c r="AI268" s="301"/>
      <c r="AJ268" s="301"/>
    </row>
    <row r="269" spans="1:36" x14ac:dyDescent="0.3">
      <c r="A269" s="301"/>
      <c r="B269" s="301"/>
      <c r="C269" s="301"/>
      <c r="E269" s="301"/>
      <c r="F269" s="301"/>
      <c r="G269" s="301"/>
      <c r="H269" s="301"/>
      <c r="I269" s="301"/>
      <c r="J269" s="301"/>
      <c r="K269" s="301"/>
      <c r="L269" s="301"/>
      <c r="N269" s="301"/>
      <c r="O269" s="301"/>
      <c r="P269" s="301"/>
      <c r="Q269" s="301"/>
      <c r="R269" s="301"/>
      <c r="S269" s="301"/>
      <c r="T269" s="301"/>
      <c r="U269" s="301"/>
      <c r="V269" s="301"/>
      <c r="W269" s="301"/>
      <c r="X269" s="301"/>
      <c r="Z269" s="301"/>
      <c r="AA269" s="301"/>
      <c r="AB269" s="301"/>
      <c r="AC269" s="301"/>
      <c r="AD269" s="301"/>
      <c r="AE269" s="301"/>
      <c r="AF269" s="301"/>
      <c r="AG269" s="301"/>
      <c r="AH269" s="301"/>
      <c r="AI269" s="301"/>
      <c r="AJ269" s="301"/>
    </row>
    <row r="270" spans="1:36" x14ac:dyDescent="0.3">
      <c r="A270" s="301"/>
      <c r="B270" s="301"/>
      <c r="C270" s="301"/>
      <c r="E270" s="301"/>
      <c r="F270" s="301"/>
      <c r="G270" s="301"/>
      <c r="H270" s="301"/>
      <c r="I270" s="301"/>
      <c r="J270" s="301"/>
      <c r="K270" s="301"/>
      <c r="L270" s="301"/>
      <c r="N270" s="301"/>
      <c r="O270" s="301"/>
      <c r="P270" s="301"/>
      <c r="Q270" s="301"/>
      <c r="R270" s="301"/>
      <c r="S270" s="301"/>
      <c r="T270" s="301"/>
      <c r="U270" s="301"/>
      <c r="V270" s="301"/>
      <c r="W270" s="301"/>
      <c r="X270" s="301"/>
      <c r="Z270" s="301"/>
      <c r="AA270" s="301"/>
      <c r="AB270" s="301"/>
      <c r="AC270" s="301"/>
      <c r="AD270" s="301"/>
      <c r="AE270" s="301"/>
      <c r="AF270" s="301"/>
      <c r="AG270" s="301"/>
      <c r="AH270" s="301"/>
      <c r="AI270" s="301"/>
      <c r="AJ270" s="301"/>
    </row>
    <row r="271" spans="1:36" x14ac:dyDescent="0.3">
      <c r="A271" s="301"/>
      <c r="B271" s="301"/>
      <c r="C271" s="301"/>
      <c r="E271" s="301"/>
      <c r="F271" s="301"/>
      <c r="G271" s="301"/>
      <c r="H271" s="301"/>
      <c r="I271" s="301"/>
      <c r="J271" s="301"/>
      <c r="K271" s="301"/>
      <c r="L271" s="301"/>
      <c r="N271" s="301"/>
      <c r="O271" s="301"/>
      <c r="P271" s="301"/>
      <c r="Q271" s="301"/>
      <c r="R271" s="301"/>
      <c r="S271" s="301"/>
      <c r="T271" s="301"/>
      <c r="U271" s="301"/>
      <c r="V271" s="301"/>
      <c r="W271" s="301"/>
      <c r="X271" s="301"/>
      <c r="Z271" s="301"/>
      <c r="AA271" s="301"/>
      <c r="AB271" s="301"/>
      <c r="AC271" s="301"/>
      <c r="AD271" s="301"/>
      <c r="AE271" s="301"/>
      <c r="AF271" s="301"/>
      <c r="AG271" s="301"/>
      <c r="AH271" s="301"/>
      <c r="AI271" s="301"/>
      <c r="AJ271" s="301"/>
    </row>
    <row r="272" spans="1:36" x14ac:dyDescent="0.3">
      <c r="A272" s="301"/>
      <c r="B272" s="301"/>
      <c r="C272" s="301"/>
      <c r="E272" s="301"/>
      <c r="F272" s="301"/>
      <c r="G272" s="301"/>
      <c r="H272" s="301"/>
      <c r="I272" s="301"/>
      <c r="J272" s="301"/>
      <c r="K272" s="301"/>
      <c r="L272" s="301"/>
      <c r="N272" s="301"/>
      <c r="O272" s="301"/>
      <c r="P272" s="301"/>
      <c r="Q272" s="301"/>
      <c r="R272" s="301"/>
      <c r="S272" s="301"/>
      <c r="T272" s="301"/>
      <c r="U272" s="301"/>
      <c r="V272" s="301"/>
      <c r="W272" s="301"/>
      <c r="X272" s="301"/>
      <c r="Z272" s="301"/>
      <c r="AA272" s="301"/>
      <c r="AB272" s="301"/>
      <c r="AC272" s="301"/>
      <c r="AD272" s="301"/>
      <c r="AE272" s="301"/>
      <c r="AF272" s="301"/>
      <c r="AG272" s="301"/>
      <c r="AH272" s="301"/>
      <c r="AI272" s="301"/>
      <c r="AJ272" s="301"/>
    </row>
    <row r="273" spans="1:36" x14ac:dyDescent="0.3">
      <c r="A273" s="301"/>
      <c r="B273" s="301"/>
      <c r="C273" s="301"/>
      <c r="E273" s="301"/>
      <c r="F273" s="301"/>
      <c r="G273" s="301"/>
      <c r="H273" s="301"/>
      <c r="I273" s="301"/>
      <c r="J273" s="301"/>
      <c r="K273" s="301"/>
      <c r="L273" s="301"/>
      <c r="N273" s="301"/>
      <c r="O273" s="301"/>
      <c r="P273" s="301"/>
      <c r="Q273" s="301"/>
      <c r="R273" s="301"/>
      <c r="S273" s="301"/>
      <c r="T273" s="301"/>
      <c r="U273" s="301"/>
      <c r="V273" s="301"/>
      <c r="W273" s="301"/>
      <c r="X273" s="301"/>
      <c r="Z273" s="301"/>
      <c r="AA273" s="301"/>
      <c r="AB273" s="301"/>
      <c r="AC273" s="301"/>
      <c r="AD273" s="301"/>
      <c r="AE273" s="301"/>
      <c r="AF273" s="301"/>
      <c r="AG273" s="301"/>
      <c r="AH273" s="301"/>
      <c r="AI273" s="301"/>
      <c r="AJ273" s="301"/>
    </row>
    <row r="274" spans="1:36" x14ac:dyDescent="0.3">
      <c r="A274" s="301"/>
      <c r="B274" s="301"/>
      <c r="C274" s="301"/>
      <c r="E274" s="301"/>
      <c r="F274" s="301"/>
      <c r="G274" s="301"/>
      <c r="H274" s="301"/>
      <c r="I274" s="301"/>
      <c r="J274" s="301"/>
      <c r="K274" s="301"/>
      <c r="L274" s="301"/>
      <c r="N274" s="301"/>
      <c r="O274" s="301"/>
      <c r="P274" s="301"/>
      <c r="Q274" s="301"/>
      <c r="R274" s="301"/>
      <c r="S274" s="301"/>
      <c r="T274" s="301"/>
      <c r="U274" s="301"/>
      <c r="V274" s="301"/>
      <c r="W274" s="301"/>
      <c r="X274" s="301"/>
      <c r="Z274" s="301"/>
      <c r="AA274" s="301"/>
      <c r="AB274" s="301"/>
      <c r="AC274" s="301"/>
      <c r="AD274" s="301"/>
      <c r="AE274" s="301"/>
      <c r="AF274" s="301"/>
      <c r="AG274" s="301"/>
      <c r="AH274" s="301"/>
      <c r="AI274" s="301"/>
      <c r="AJ274" s="301"/>
    </row>
    <row r="275" spans="1:36" x14ac:dyDescent="0.3">
      <c r="A275" s="301"/>
      <c r="B275" s="301"/>
      <c r="C275" s="301"/>
      <c r="E275" s="301"/>
      <c r="F275" s="301"/>
      <c r="G275" s="301"/>
      <c r="H275" s="301"/>
      <c r="I275" s="301"/>
      <c r="J275" s="301"/>
      <c r="K275" s="301"/>
      <c r="L275" s="301"/>
      <c r="N275" s="301"/>
      <c r="O275" s="301"/>
      <c r="P275" s="301"/>
      <c r="Q275" s="301"/>
      <c r="R275" s="301"/>
      <c r="S275" s="301"/>
      <c r="T275" s="301"/>
      <c r="U275" s="301"/>
      <c r="V275" s="301"/>
      <c r="W275" s="301"/>
      <c r="X275" s="301"/>
      <c r="Z275" s="301"/>
      <c r="AA275" s="301"/>
      <c r="AB275" s="301"/>
      <c r="AC275" s="301"/>
      <c r="AD275" s="301"/>
      <c r="AE275" s="301"/>
      <c r="AF275" s="301"/>
      <c r="AG275" s="301"/>
      <c r="AH275" s="301"/>
      <c r="AI275" s="301"/>
      <c r="AJ275" s="301"/>
    </row>
  </sheetData>
  <sheetProtection algorithmName="SHA-512" hashValue="dmZ5XVrB2IyVfnLSCKE9fSZCZFdz36xSD0et8JzTmbn2a9lILKhMx6NKTT7zO8JsU3oAFhpZkyV8VU/K26B0cw==" saltValue="XDloh3jLoUzMUEPyO0hj4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>
    <tabColor rgb="FFFFFF99"/>
  </sheetPr>
  <dimension ref="A1:X55"/>
  <sheetViews>
    <sheetView zoomScale="85" zoomScaleNormal="85" workbookViewId="0">
      <selection activeCell="N7" sqref="N7"/>
    </sheetView>
  </sheetViews>
  <sheetFormatPr baseColWidth="10" defaultRowHeight="14.4" x14ac:dyDescent="0.3"/>
  <cols>
    <col min="1" max="1" width="6.44140625" style="171" customWidth="1"/>
    <col min="2" max="2" width="19.5546875" bestFit="1" customWidth="1"/>
    <col min="3" max="3" width="6" customWidth="1"/>
    <col min="4" max="4" width="18.5546875" customWidth="1"/>
    <col min="5" max="5" width="19.44140625" customWidth="1"/>
    <col min="6" max="9" width="13.5546875" customWidth="1"/>
    <col min="10" max="10" width="13.44140625" customWidth="1"/>
    <col min="11" max="24" width="11.5546875" style="171"/>
  </cols>
  <sheetData>
    <row r="1" spans="2:10" s="171" customFormat="1" x14ac:dyDescent="0.3"/>
    <row r="2" spans="2:10" s="171" customFormat="1" ht="18" x14ac:dyDescent="0.35">
      <c r="B2" s="365" t="s">
        <v>165</v>
      </c>
      <c r="C2" s="365"/>
    </row>
    <row r="3" spans="2:10" ht="43.2" x14ac:dyDescent="0.3">
      <c r="B3" s="171"/>
      <c r="C3" s="171"/>
      <c r="D3" s="171"/>
      <c r="E3" s="368"/>
      <c r="F3" s="117" t="s">
        <v>156</v>
      </c>
      <c r="G3" s="117" t="s">
        <v>157</v>
      </c>
      <c r="H3" s="117" t="s">
        <v>158</v>
      </c>
      <c r="I3" s="117" t="s">
        <v>159</v>
      </c>
      <c r="J3" s="117" t="s">
        <v>169</v>
      </c>
    </row>
    <row r="4" spans="2:10" ht="42.6" customHeight="1" x14ac:dyDescent="0.3">
      <c r="B4" s="123" t="s">
        <v>164</v>
      </c>
      <c r="C4" s="123"/>
      <c r="D4" s="123" t="s">
        <v>155</v>
      </c>
      <c r="E4" s="123" t="s">
        <v>292</v>
      </c>
      <c r="F4" s="121">
        <f>'Reference VO 4RP'!G34+'Reference VO 4RP'!G30</f>
        <v>531334.7699999999</v>
      </c>
      <c r="G4" s="121">
        <f>'Reference VO 4RP'!G5+'Reference VO 4RP'!G29</f>
        <v>81872004.269999996</v>
      </c>
      <c r="H4" s="121">
        <f>'Reference VO 4RP'!G7+'Reference VO 4RP'!G19+'Reference VO 4RP'!G23+'Reference VO 4RP'!G24</f>
        <v>4750155</v>
      </c>
      <c r="I4" s="121">
        <f>'Reference VO 4RP'!G7+'Reference VO 4RP'!G19</f>
        <v>4750155</v>
      </c>
      <c r="J4" s="171"/>
    </row>
    <row r="5" spans="2:10" x14ac:dyDescent="0.3">
      <c r="B5" s="118" t="s">
        <v>56</v>
      </c>
      <c r="C5" s="124" t="s">
        <v>70</v>
      </c>
      <c r="D5" s="126">
        <v>381.59447</v>
      </c>
      <c r="E5" s="122">
        <f>'Reference VO 4RP'!G31</f>
        <v>48558893.100000009</v>
      </c>
      <c r="F5" s="119" t="s">
        <v>160</v>
      </c>
      <c r="G5" s="120">
        <f>D5</f>
        <v>381.59447</v>
      </c>
      <c r="H5" s="120">
        <f>$D$9+D5</f>
        <v>623.59447</v>
      </c>
      <c r="I5" s="120">
        <f>$D$11+D5</f>
        <v>718.59447</v>
      </c>
      <c r="J5" s="171"/>
    </row>
    <row r="6" spans="2:10" x14ac:dyDescent="0.3">
      <c r="B6" s="118" t="s">
        <v>58</v>
      </c>
      <c r="C6" s="124" t="s">
        <v>70</v>
      </c>
      <c r="D6" s="280">
        <v>0</v>
      </c>
      <c r="E6" s="122">
        <f>'Reference VO 4RP'!G11</f>
        <v>5436471.2699999996</v>
      </c>
      <c r="F6" s="120">
        <f>$D$5+D6</f>
        <v>381.59447</v>
      </c>
      <c r="G6" s="119" t="s">
        <v>160</v>
      </c>
      <c r="H6" s="120">
        <f>$D$9+D6</f>
        <v>242</v>
      </c>
      <c r="I6" s="120">
        <f>$D$11+D6</f>
        <v>337</v>
      </c>
      <c r="J6" s="171"/>
    </row>
    <row r="7" spans="2:10" x14ac:dyDescent="0.3">
      <c r="B7" s="118" t="s">
        <v>90</v>
      </c>
      <c r="C7" s="124" t="s">
        <v>70</v>
      </c>
      <c r="D7" s="127">
        <v>46</v>
      </c>
      <c r="E7" s="122">
        <f>'Reference VO 4RP'!G14</f>
        <v>6378300</v>
      </c>
      <c r="F7" s="120">
        <f>$D$5+D7</f>
        <v>427.59447</v>
      </c>
      <c r="G7" s="120">
        <f t="shared" ref="G7:G28" si="0">D7</f>
        <v>46</v>
      </c>
      <c r="H7" s="120">
        <f>$D$9+D7</f>
        <v>288</v>
      </c>
      <c r="I7" s="120">
        <f>$D$11+D7</f>
        <v>383</v>
      </c>
      <c r="J7" s="171"/>
    </row>
    <row r="8" spans="2:10" x14ac:dyDescent="0.3">
      <c r="B8" s="118" t="s">
        <v>73</v>
      </c>
      <c r="C8" s="124" t="s">
        <v>70</v>
      </c>
      <c r="D8" s="128">
        <v>238</v>
      </c>
      <c r="E8" s="122">
        <f>'Reference VO 4RP'!G13</f>
        <v>3382423.6799999997</v>
      </c>
      <c r="F8" s="120">
        <f>$D$5+D8-2*D23</f>
        <v>198.21445</v>
      </c>
      <c r="G8" s="120">
        <f t="shared" si="0"/>
        <v>238</v>
      </c>
      <c r="H8" s="120">
        <f>$D$9+D8</f>
        <v>480</v>
      </c>
      <c r="I8" s="120">
        <f>$D$11+D8</f>
        <v>575</v>
      </c>
      <c r="J8" s="171"/>
    </row>
    <row r="9" spans="2:10" x14ac:dyDescent="0.3">
      <c r="B9" s="118" t="s">
        <v>59</v>
      </c>
      <c r="C9" s="124" t="s">
        <v>70</v>
      </c>
      <c r="D9" s="127">
        <v>242</v>
      </c>
      <c r="E9" s="122">
        <f>'Reference VO 4RP'!G12</f>
        <v>15660326.67</v>
      </c>
      <c r="F9" s="120">
        <f t="shared" ref="F9:F18" si="1">$D$5+D9</f>
        <v>623.59447</v>
      </c>
      <c r="G9" s="120">
        <f t="shared" si="0"/>
        <v>242</v>
      </c>
      <c r="H9" s="119" t="s">
        <v>160</v>
      </c>
      <c r="I9" s="120">
        <f>$D$11-D9</f>
        <v>95</v>
      </c>
      <c r="J9" s="171"/>
    </row>
    <row r="10" spans="2:10" x14ac:dyDescent="0.3">
      <c r="B10" s="118" t="s">
        <v>74</v>
      </c>
      <c r="C10" s="124" t="s">
        <v>70</v>
      </c>
      <c r="D10" s="127">
        <v>36</v>
      </c>
      <c r="E10" s="122">
        <f>'Reference VO 4RP'!G10</f>
        <v>0</v>
      </c>
      <c r="F10" s="120">
        <f>$D$5+D10</f>
        <v>417.59447</v>
      </c>
      <c r="G10" s="120">
        <f t="shared" si="0"/>
        <v>36</v>
      </c>
      <c r="H10" s="120">
        <f>$D$9+D10</f>
        <v>278</v>
      </c>
      <c r="I10" s="120">
        <f>$D$11+D10</f>
        <v>373</v>
      </c>
      <c r="J10" s="171"/>
    </row>
    <row r="11" spans="2:10" x14ac:dyDescent="0.3">
      <c r="B11" s="118" t="s">
        <v>130</v>
      </c>
      <c r="C11" s="124" t="s">
        <v>70</v>
      </c>
      <c r="D11" s="127">
        <v>337</v>
      </c>
      <c r="E11" s="122">
        <f>'Reference VO 4RP'!G18+'Reference VO 4RP'!G22</f>
        <v>6734052.4799999995</v>
      </c>
      <c r="F11" s="120">
        <f t="shared" si="1"/>
        <v>718.59447</v>
      </c>
      <c r="G11" s="120">
        <f t="shared" si="0"/>
        <v>337</v>
      </c>
      <c r="H11" s="120">
        <f>-$D$9+D11</f>
        <v>95</v>
      </c>
      <c r="I11" s="119" t="s">
        <v>160</v>
      </c>
      <c r="J11" s="171"/>
    </row>
    <row r="12" spans="2:10" x14ac:dyDescent="0.3">
      <c r="B12" s="118" t="s">
        <v>61</v>
      </c>
      <c r="C12" s="124" t="s">
        <v>70</v>
      </c>
      <c r="D12" s="127">
        <v>2</v>
      </c>
      <c r="E12" s="122">
        <f>'Reference VO 4RP'!G28</f>
        <v>5749393</v>
      </c>
      <c r="F12" s="120">
        <f t="shared" si="1"/>
        <v>383.59447</v>
      </c>
      <c r="G12" s="120">
        <f t="shared" si="0"/>
        <v>2</v>
      </c>
      <c r="H12" s="120">
        <f>$D$9+D12</f>
        <v>244</v>
      </c>
      <c r="I12" s="120">
        <f>$D$11+D12</f>
        <v>339</v>
      </c>
      <c r="J12" s="171"/>
    </row>
    <row r="13" spans="2:10" x14ac:dyDescent="0.3">
      <c r="B13" s="118" t="s">
        <v>161</v>
      </c>
      <c r="C13" s="137" t="s">
        <v>71</v>
      </c>
      <c r="D13" s="127">
        <v>24</v>
      </c>
      <c r="E13" s="122">
        <f>SUM('Reference VO 4RP'!$G$16,'Reference VO 4RP'!$G$20,'Reference VO 4RP'!$G$21,'Reference VO 4RP'!$G$32)*'Reference VO 4RP'!L24/SUM('Reference VO 4RP'!$L$24:$L$35)</f>
        <v>4635629.7243225994</v>
      </c>
      <c r="F13" s="120">
        <f t="shared" si="1"/>
        <v>405.59447</v>
      </c>
      <c r="G13" s="120">
        <f t="shared" si="0"/>
        <v>24</v>
      </c>
      <c r="H13" s="120">
        <f t="shared" ref="H13:H18" si="2">$D$9-D13</f>
        <v>218</v>
      </c>
      <c r="I13" s="120">
        <f t="shared" ref="I13:I18" si="3">$D$11-D13</f>
        <v>313</v>
      </c>
      <c r="J13" s="120">
        <f>$J$23+$D$23+D13</f>
        <v>262</v>
      </c>
    </row>
    <row r="14" spans="2:10" x14ac:dyDescent="0.3">
      <c r="B14" s="118" t="s">
        <v>92</v>
      </c>
      <c r="C14" s="124" t="s">
        <v>70</v>
      </c>
      <c r="D14" s="127">
        <v>78</v>
      </c>
      <c r="E14" s="122">
        <f>SUM('Reference VO 4RP'!$G$16,'Reference VO 4RP'!$G$20,'Reference VO 4RP'!$G$21,'Reference VO 4RP'!$G$32)*'Reference VO 4RP'!L25/SUM('Reference VO 4RP'!$L$24:$L$35)</f>
        <v>0</v>
      </c>
      <c r="F14" s="120">
        <f t="shared" si="1"/>
        <v>459.59447</v>
      </c>
      <c r="G14" s="120">
        <f t="shared" si="0"/>
        <v>78</v>
      </c>
      <c r="H14" s="120">
        <f t="shared" si="2"/>
        <v>164</v>
      </c>
      <c r="I14" s="120">
        <f t="shared" si="3"/>
        <v>259</v>
      </c>
      <c r="J14" s="120">
        <f t="shared" ref="J14:J19" si="4">$J$23+$D$23+D14</f>
        <v>316</v>
      </c>
    </row>
    <row r="15" spans="2:10" x14ac:dyDescent="0.3">
      <c r="B15" s="118" t="s">
        <v>93</v>
      </c>
      <c r="C15" s="124" t="s">
        <v>70</v>
      </c>
      <c r="D15" s="127">
        <v>133</v>
      </c>
      <c r="E15" s="122">
        <f>SUM('Reference VO 4RP'!$G$16,'Reference VO 4RP'!$G$20,'Reference VO 4RP'!$G$21,'Reference VO 4RP'!$G$32)*'Reference VO 4RP'!L26/SUM('Reference VO 4RP'!$L$24:$L$35)</f>
        <v>0</v>
      </c>
      <c r="F15" s="120">
        <f t="shared" si="1"/>
        <v>514.59447</v>
      </c>
      <c r="G15" s="120">
        <f t="shared" si="0"/>
        <v>133</v>
      </c>
      <c r="H15" s="120">
        <f t="shared" si="2"/>
        <v>109</v>
      </c>
      <c r="I15" s="120">
        <f t="shared" si="3"/>
        <v>204</v>
      </c>
      <c r="J15" s="120">
        <f t="shared" si="4"/>
        <v>371</v>
      </c>
    </row>
    <row r="16" spans="2:10" x14ac:dyDescent="0.3">
      <c r="B16" s="118" t="s">
        <v>94</v>
      </c>
      <c r="C16" s="124" t="s">
        <v>70</v>
      </c>
      <c r="D16" s="127">
        <v>185</v>
      </c>
      <c r="E16" s="122">
        <f>SUM('Reference VO 4RP'!$G$16,'Reference VO 4RP'!$G$20,'Reference VO 4RP'!$G$21,'Reference VO 4RP'!$G$32)*'Reference VO 4RP'!L27/SUM('Reference VO 4RP'!$L$24:$L$35)</f>
        <v>0</v>
      </c>
      <c r="F16" s="120">
        <f t="shared" si="1"/>
        <v>566.59447</v>
      </c>
      <c r="G16" s="120">
        <f t="shared" si="0"/>
        <v>185</v>
      </c>
      <c r="H16" s="120">
        <f t="shared" si="2"/>
        <v>57</v>
      </c>
      <c r="I16" s="120">
        <f t="shared" si="3"/>
        <v>152</v>
      </c>
      <c r="J16" s="120">
        <f t="shared" si="4"/>
        <v>423</v>
      </c>
    </row>
    <row r="17" spans="2:10" x14ac:dyDescent="0.3">
      <c r="B17" s="118" t="s">
        <v>163</v>
      </c>
      <c r="C17" s="137" t="s">
        <v>71</v>
      </c>
      <c r="D17" s="127">
        <v>202</v>
      </c>
      <c r="E17" s="122">
        <f>SUM('Reference VO 4RP'!$G$16,'Reference VO 4RP'!$G$20,'Reference VO 4RP'!$G$21,'Reference VO 4RP'!$G$32)*'Reference VO 4RP'!L28/SUM('Reference VO 4RP'!$L$24:$L$35)</f>
        <v>2378658.3716681697</v>
      </c>
      <c r="F17" s="120">
        <f t="shared" si="1"/>
        <v>583.59447</v>
      </c>
      <c r="G17" s="120">
        <f t="shared" si="0"/>
        <v>202</v>
      </c>
      <c r="H17" s="120">
        <f t="shared" si="2"/>
        <v>40</v>
      </c>
      <c r="I17" s="120">
        <f t="shared" si="3"/>
        <v>135</v>
      </c>
      <c r="J17" s="120">
        <f t="shared" si="4"/>
        <v>440</v>
      </c>
    </row>
    <row r="18" spans="2:10" x14ac:dyDescent="0.3">
      <c r="B18" s="118" t="s">
        <v>96</v>
      </c>
      <c r="C18" s="124" t="s">
        <v>70</v>
      </c>
      <c r="D18" s="127">
        <v>222</v>
      </c>
      <c r="E18" s="122">
        <f>SUM('Reference VO 4RP'!$G$16,'Reference VO 4RP'!$G$20,'Reference VO 4RP'!$G$21,'Reference VO 4RP'!$G$32)*'Reference VO 4RP'!L29/SUM('Reference VO 4RP'!$L$24:$L$35)</f>
        <v>0</v>
      </c>
      <c r="F18" s="120">
        <f t="shared" si="1"/>
        <v>603.59447</v>
      </c>
      <c r="G18" s="120">
        <f t="shared" si="0"/>
        <v>222</v>
      </c>
      <c r="H18" s="120">
        <f t="shared" si="2"/>
        <v>20</v>
      </c>
      <c r="I18" s="120">
        <f t="shared" si="3"/>
        <v>115</v>
      </c>
      <c r="J18" s="120">
        <f t="shared" si="4"/>
        <v>460</v>
      </c>
    </row>
    <row r="19" spans="2:10" x14ac:dyDescent="0.3">
      <c r="B19" s="118" t="s">
        <v>97</v>
      </c>
      <c r="C19" s="124" t="s">
        <v>70</v>
      </c>
      <c r="D19" s="127">
        <v>0</v>
      </c>
      <c r="E19" s="122">
        <f>SUM('Reference VO 4RP'!$G$16,'Reference VO 4RP'!$G$20,'Reference VO 4RP'!$G$21,'Reference VO 4RP'!$G$32)*'Reference VO 4RP'!L30/SUM('Reference VO 4RP'!$L$24:$L$35)</f>
        <v>21422798.347337451</v>
      </c>
      <c r="F19" s="120">
        <f>$D$5+D19+G19</f>
        <v>382.59447</v>
      </c>
      <c r="G19" s="119">
        <v>1</v>
      </c>
      <c r="H19" s="120">
        <f t="shared" ref="H19:H28" si="5">$D$9+D19</f>
        <v>242</v>
      </c>
      <c r="I19" s="120">
        <f t="shared" ref="I19:I28" si="6">$D$11+D19</f>
        <v>337</v>
      </c>
      <c r="J19" s="120">
        <f t="shared" si="4"/>
        <v>238</v>
      </c>
    </row>
    <row r="20" spans="2:10" x14ac:dyDescent="0.3">
      <c r="B20" s="118" t="s">
        <v>98</v>
      </c>
      <c r="C20" s="124" t="s">
        <v>70</v>
      </c>
      <c r="D20" s="129">
        <v>71.84778</v>
      </c>
      <c r="E20" s="122">
        <f>SUM('Reference VO 4RP'!$G$16,'Reference VO 4RP'!$G$20,'Reference VO 4RP'!$G$21,'Reference VO 4RP'!$G$32)*'Reference VO 4RP'!L31/SUM('Reference VO 4RP'!$L$24:$L$35)</f>
        <v>1111503.1736736789</v>
      </c>
      <c r="F20" s="120">
        <f t="shared" ref="F20:F28" si="7">$D$5-D20</f>
        <v>309.74669</v>
      </c>
      <c r="G20" s="120">
        <f t="shared" si="0"/>
        <v>71.84778</v>
      </c>
      <c r="H20" s="120">
        <f t="shared" si="5"/>
        <v>313.84778</v>
      </c>
      <c r="I20" s="120">
        <f t="shared" si="6"/>
        <v>408.84778</v>
      </c>
      <c r="J20" s="120">
        <f>$J$23+$D$23-D20</f>
        <v>166.15222</v>
      </c>
    </row>
    <row r="21" spans="2:10" x14ac:dyDescent="0.3">
      <c r="B21" s="118" t="s">
        <v>99</v>
      </c>
      <c r="C21" s="124" t="s">
        <v>70</v>
      </c>
      <c r="D21" s="129">
        <v>137.48994999999999</v>
      </c>
      <c r="E21" s="122">
        <f>SUM('Reference VO 4RP'!$G$16,'Reference VO 4RP'!$G$20,'Reference VO 4RP'!$G$21,'Reference VO 4RP'!$G$32)*'Reference VO 4RP'!L32/SUM('Reference VO 4RP'!$L$24:$L$35)</f>
        <v>166731.02605191903</v>
      </c>
      <c r="F21" s="120">
        <f t="shared" si="7"/>
        <v>244.10452000000001</v>
      </c>
      <c r="G21" s="120">
        <f t="shared" si="0"/>
        <v>137.48994999999999</v>
      </c>
      <c r="H21" s="120">
        <f t="shared" si="5"/>
        <v>379.48995000000002</v>
      </c>
      <c r="I21" s="120">
        <f t="shared" si="6"/>
        <v>474.48995000000002</v>
      </c>
      <c r="J21" s="120">
        <f t="shared" ref="J21:J22" si="8">$J$23+$D$23-D21</f>
        <v>100.51005000000001</v>
      </c>
    </row>
    <row r="22" spans="2:10" x14ac:dyDescent="0.3">
      <c r="B22" s="118" t="s">
        <v>100</v>
      </c>
      <c r="C22" s="124" t="s">
        <v>70</v>
      </c>
      <c r="D22" s="129">
        <v>180.23273</v>
      </c>
      <c r="E22" s="122">
        <f>SUM('Reference VO 4RP'!$G$16,'Reference VO 4RP'!$G$20,'Reference VO 4RP'!$G$21,'Reference VO 4RP'!$G$32)*'Reference VO 4RP'!L33/SUM('Reference VO 4RP'!$L$24:$L$35)</f>
        <v>221439.03460010974</v>
      </c>
      <c r="F22" s="120">
        <f t="shared" si="7"/>
        <v>201.36174</v>
      </c>
      <c r="G22" s="120">
        <f t="shared" si="0"/>
        <v>180.23273</v>
      </c>
      <c r="H22" s="120">
        <f t="shared" si="5"/>
        <v>422.23273</v>
      </c>
      <c r="I22" s="120">
        <f t="shared" si="6"/>
        <v>517.23272999999995</v>
      </c>
      <c r="J22" s="120">
        <f t="shared" si="8"/>
        <v>57.767269999999996</v>
      </c>
    </row>
    <row r="23" spans="2:10" x14ac:dyDescent="0.3">
      <c r="B23" s="118" t="s">
        <v>101</v>
      </c>
      <c r="C23" s="124" t="s">
        <v>70</v>
      </c>
      <c r="D23" s="129">
        <v>210.69001</v>
      </c>
      <c r="E23" s="122">
        <f>SUM('Reference VO 4RP'!$G$16,'Reference VO 4RP'!$G$20,'Reference VO 4RP'!$G$21,'Reference VO 4RP'!$G$32)*'Reference VO 4RP'!L34/SUM('Reference VO 4RP'!$L$24:$L$35)</f>
        <v>1952543.3050871892</v>
      </c>
      <c r="F23" s="120">
        <f t="shared" si="7"/>
        <v>170.90446</v>
      </c>
      <c r="G23" s="120">
        <f t="shared" si="0"/>
        <v>210.69001</v>
      </c>
      <c r="H23" s="120">
        <f t="shared" si="5"/>
        <v>452.69001000000003</v>
      </c>
      <c r="I23" s="120">
        <f t="shared" si="6"/>
        <v>547.69001000000003</v>
      </c>
      <c r="J23" s="120">
        <f>D8-D23</f>
        <v>27.309989999999999</v>
      </c>
    </row>
    <row r="24" spans="2:10" x14ac:dyDescent="0.3">
      <c r="B24" s="118" t="s">
        <v>102</v>
      </c>
      <c r="C24" s="124" t="s">
        <v>70</v>
      </c>
      <c r="D24" s="129">
        <v>231.34958</v>
      </c>
      <c r="E24" s="122">
        <f>SUM('Reference VO 4RP'!$G$16,'Reference VO 4RP'!$G$20,'Reference VO 4RP'!$G$21,'Reference VO 4RP'!$G$32)*'Reference VO 4RP'!L35/SUM('Reference VO 4RP'!$L$24:$L$35)</f>
        <v>110456.01725888268</v>
      </c>
      <c r="F24" s="120">
        <f t="shared" si="7"/>
        <v>150.24489</v>
      </c>
      <c r="G24" s="120">
        <f t="shared" si="0"/>
        <v>231.34958</v>
      </c>
      <c r="H24" s="120">
        <f t="shared" si="5"/>
        <v>473.34958</v>
      </c>
      <c r="I24" s="120">
        <f t="shared" si="6"/>
        <v>568.34958000000006</v>
      </c>
      <c r="J24" s="120">
        <f>D8-D23+D24-D23</f>
        <v>47.96956000000003</v>
      </c>
    </row>
    <row r="25" spans="2:10" x14ac:dyDescent="0.3">
      <c r="B25" s="118" t="s">
        <v>103</v>
      </c>
      <c r="C25" s="124" t="s">
        <v>70</v>
      </c>
      <c r="D25" s="129">
        <v>268.73602</v>
      </c>
      <c r="E25" s="122">
        <f>'Reference VO 4RP'!$G$33*'Reference VO 4RP'!L36/SUM('Reference VO 4RP'!$L$36:$L$39)</f>
        <v>55223</v>
      </c>
      <c r="F25" s="120">
        <f t="shared" si="7"/>
        <v>112.85845</v>
      </c>
      <c r="G25" s="120">
        <f t="shared" si="0"/>
        <v>268.73602</v>
      </c>
      <c r="H25" s="120">
        <f t="shared" si="5"/>
        <v>510.73602</v>
      </c>
      <c r="I25" s="120">
        <f t="shared" si="6"/>
        <v>605.73602000000005</v>
      </c>
      <c r="J25" s="120">
        <f>$D$8+D25-2*$D$23</f>
        <v>85.355999999999995</v>
      </c>
    </row>
    <row r="26" spans="2:10" x14ac:dyDescent="0.3">
      <c r="B26" s="118" t="s">
        <v>104</v>
      </c>
      <c r="C26" s="124" t="s">
        <v>70</v>
      </c>
      <c r="D26" s="129">
        <v>300.39652000000001</v>
      </c>
      <c r="E26" s="122">
        <f>'Reference VO 4RP'!$G$33*'Reference VO 4RP'!L37/SUM('Reference VO 4RP'!$L$36:$L$39)</f>
        <v>22022</v>
      </c>
      <c r="F26" s="120">
        <f t="shared" si="7"/>
        <v>81.197949999999992</v>
      </c>
      <c r="G26" s="120">
        <f t="shared" si="0"/>
        <v>300.39652000000001</v>
      </c>
      <c r="H26" s="120">
        <f t="shared" si="5"/>
        <v>542.39652000000001</v>
      </c>
      <c r="I26" s="120">
        <f t="shared" si="6"/>
        <v>637.39652000000001</v>
      </c>
      <c r="J26" s="120">
        <f t="shared" ref="J26:J28" si="9">$D$8+D26-2*$D$23</f>
        <v>117.01650000000001</v>
      </c>
    </row>
    <row r="27" spans="2:10" x14ac:dyDescent="0.3">
      <c r="B27" s="118" t="s">
        <v>105</v>
      </c>
      <c r="C27" s="124" t="s">
        <v>70</v>
      </c>
      <c r="D27" s="129">
        <v>320.51218999999998</v>
      </c>
      <c r="E27" s="122">
        <f>'Reference VO 4RP'!$G$33*'Reference VO 4RP'!L38/SUM('Reference VO 4RP'!$L$36:$L$39)</f>
        <v>110087</v>
      </c>
      <c r="F27" s="120">
        <f t="shared" si="7"/>
        <v>61.082280000000026</v>
      </c>
      <c r="G27" s="120">
        <f t="shared" si="0"/>
        <v>320.51218999999998</v>
      </c>
      <c r="H27" s="120">
        <f t="shared" si="5"/>
        <v>562.51218999999992</v>
      </c>
      <c r="I27" s="120">
        <f t="shared" si="6"/>
        <v>657.51218999999992</v>
      </c>
      <c r="J27" s="120">
        <f t="shared" si="9"/>
        <v>137.13216999999992</v>
      </c>
    </row>
    <row r="28" spans="2:10" x14ac:dyDescent="0.3">
      <c r="B28" s="118" t="s">
        <v>106</v>
      </c>
      <c r="C28" s="124" t="s">
        <v>70</v>
      </c>
      <c r="D28" s="129">
        <v>361.42469</v>
      </c>
      <c r="E28" s="122">
        <f>'Reference VO 4RP'!$G$33*'Reference VO 4RP'!L39/SUM('Reference VO 4RP'!$L$36:$L$39)</f>
        <v>284539</v>
      </c>
      <c r="F28" s="120">
        <f t="shared" si="7"/>
        <v>20.169780000000003</v>
      </c>
      <c r="G28" s="120">
        <f t="shared" si="0"/>
        <v>361.42469</v>
      </c>
      <c r="H28" s="120">
        <f t="shared" si="5"/>
        <v>603.42469000000006</v>
      </c>
      <c r="I28" s="120">
        <f t="shared" si="6"/>
        <v>698.42469000000006</v>
      </c>
      <c r="J28" s="120">
        <f t="shared" si="9"/>
        <v>178.04467000000005</v>
      </c>
    </row>
    <row r="29" spans="2:10" x14ac:dyDescent="0.3">
      <c r="B29" s="118" t="s">
        <v>162</v>
      </c>
      <c r="C29" s="124" t="s">
        <v>70</v>
      </c>
      <c r="D29" s="127">
        <v>334</v>
      </c>
      <c r="E29" s="122">
        <f>'Reference VO 4RP'!G25</f>
        <v>2950825</v>
      </c>
      <c r="F29" s="120">
        <f>$D$5+D29</f>
        <v>715.59447</v>
      </c>
      <c r="G29" s="120">
        <f>D29</f>
        <v>334</v>
      </c>
      <c r="H29" s="120">
        <f>-$D$9+D29</f>
        <v>92</v>
      </c>
      <c r="I29" s="120">
        <f>$D$11-D29</f>
        <v>3</v>
      </c>
    </row>
    <row r="30" spans="2:10" s="171" customFormat="1" x14ac:dyDescent="0.3">
      <c r="F30" s="366"/>
      <c r="G30" s="367"/>
      <c r="H30" s="366"/>
      <c r="I30" s="366"/>
    </row>
    <row r="31" spans="2:10" s="171" customFormat="1" x14ac:dyDescent="0.3">
      <c r="F31" s="366"/>
      <c r="G31" s="367"/>
      <c r="H31" s="366"/>
      <c r="I31" s="366"/>
    </row>
    <row r="32" spans="2:10" s="171" customFormat="1" x14ac:dyDescent="0.3">
      <c r="H32" s="366"/>
      <c r="I32" s="366"/>
    </row>
    <row r="33" spans="6:9" s="171" customFormat="1" x14ac:dyDescent="0.3">
      <c r="H33" s="366"/>
      <c r="I33" s="366"/>
    </row>
    <row r="34" spans="6:9" s="171" customFormat="1" x14ac:dyDescent="0.3">
      <c r="F34" s="366"/>
      <c r="G34" s="367"/>
      <c r="H34" s="366"/>
      <c r="I34" s="366"/>
    </row>
    <row r="35" spans="6:9" s="171" customFormat="1" x14ac:dyDescent="0.3">
      <c r="F35" s="366"/>
      <c r="G35" s="367"/>
      <c r="H35" s="366"/>
      <c r="I35" s="366"/>
    </row>
    <row r="36" spans="6:9" s="171" customFormat="1" x14ac:dyDescent="0.3">
      <c r="F36" s="366"/>
      <c r="G36" s="367"/>
      <c r="H36" s="366"/>
      <c r="I36" s="366"/>
    </row>
    <row r="37" spans="6:9" s="171" customFormat="1" x14ac:dyDescent="0.3">
      <c r="F37" s="366"/>
      <c r="G37" s="367"/>
      <c r="H37" s="366"/>
      <c r="I37" s="366"/>
    </row>
    <row r="38" spans="6:9" s="171" customFormat="1" x14ac:dyDescent="0.3">
      <c r="F38" s="366"/>
      <c r="G38" s="367"/>
      <c r="H38" s="366"/>
      <c r="I38" s="366"/>
    </row>
    <row r="39" spans="6:9" s="171" customFormat="1" x14ac:dyDescent="0.3">
      <c r="F39" s="366"/>
      <c r="G39" s="367"/>
      <c r="H39" s="366"/>
      <c r="I39" s="366"/>
    </row>
    <row r="40" spans="6:9" s="171" customFormat="1" x14ac:dyDescent="0.3">
      <c r="F40" s="366"/>
      <c r="G40" s="367"/>
      <c r="H40" s="366"/>
      <c r="I40" s="366"/>
    </row>
    <row r="41" spans="6:9" s="171" customFormat="1" x14ac:dyDescent="0.3">
      <c r="F41" s="366"/>
      <c r="G41" s="367"/>
      <c r="H41" s="366"/>
      <c r="I41" s="366"/>
    </row>
    <row r="42" spans="6:9" s="171" customFormat="1" x14ac:dyDescent="0.3">
      <c r="F42" s="366"/>
      <c r="G42" s="367"/>
      <c r="H42" s="366"/>
      <c r="I42" s="366"/>
    </row>
    <row r="43" spans="6:9" s="171" customFormat="1" x14ac:dyDescent="0.3">
      <c r="F43" s="366"/>
      <c r="G43" s="367"/>
      <c r="H43" s="366"/>
      <c r="I43" s="366"/>
    </row>
    <row r="44" spans="6:9" s="171" customFormat="1" x14ac:dyDescent="0.3">
      <c r="F44" s="366"/>
      <c r="G44" s="367"/>
      <c r="H44" s="366"/>
      <c r="I44" s="366"/>
    </row>
    <row r="45" spans="6:9" s="171" customFormat="1" x14ac:dyDescent="0.3">
      <c r="F45" s="366"/>
      <c r="G45" s="367"/>
      <c r="H45" s="366"/>
      <c r="I45" s="366"/>
    </row>
    <row r="46" spans="6:9" s="171" customFormat="1" x14ac:dyDescent="0.3">
      <c r="F46" s="366"/>
      <c r="G46" s="367"/>
      <c r="H46" s="366"/>
      <c r="I46" s="366"/>
    </row>
    <row r="47" spans="6:9" s="171" customFormat="1" x14ac:dyDescent="0.3">
      <c r="F47" s="366"/>
      <c r="G47" s="367"/>
      <c r="H47" s="366"/>
      <c r="I47" s="366"/>
    </row>
    <row r="48" spans="6:9" s="171" customFormat="1" x14ac:dyDescent="0.3">
      <c r="F48" s="366"/>
    </row>
    <row r="49" spans="6:6" s="171" customFormat="1" x14ac:dyDescent="0.3">
      <c r="F49" s="366"/>
    </row>
    <row r="50" spans="6:6" x14ac:dyDescent="0.3">
      <c r="F50" s="26"/>
    </row>
    <row r="51" spans="6:6" x14ac:dyDescent="0.3">
      <c r="F51" s="26"/>
    </row>
    <row r="52" spans="6:6" x14ac:dyDescent="0.3">
      <c r="F52" s="26"/>
    </row>
    <row r="53" spans="6:6" x14ac:dyDescent="0.3">
      <c r="F53" s="26"/>
    </row>
    <row r="54" spans="6:6" x14ac:dyDescent="0.3">
      <c r="F54" s="26"/>
    </row>
    <row r="55" spans="6:6" x14ac:dyDescent="0.3">
      <c r="F55" s="26"/>
    </row>
  </sheetData>
  <sheetProtection algorithmName="SHA-512" hashValue="+7zmA0kHV7RLJaGZSVULaeCjuug4mkgTgG+feA+IddoPCQ/BTjLUpIGvMqNWYv9EqtbQR9lG00Ta/IfrPfbShA==" saltValue="siKd+OHlPysbEtavUeFct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14</vt:i4>
      </vt:variant>
    </vt:vector>
  </HeadingPairs>
  <TitlesOfParts>
    <vt:vector size="22" baseType="lpstr">
      <vt:lpstr>Overview</vt:lpstr>
      <vt:lpstr>Calc&gt;Tariffs</vt:lpstr>
      <vt:lpstr>VTPB</vt:lpstr>
      <vt:lpstr>CAA</vt:lpstr>
      <vt:lpstr>Benchmark Murfeld</vt:lpstr>
      <vt:lpstr>Parameters&gt;</vt:lpstr>
      <vt:lpstr>Reference VO 4RP</vt:lpstr>
      <vt:lpstr>Distances</vt:lpstr>
      <vt:lpstr>benchmark_m</vt:lpstr>
      <vt:lpstr>CAA_forecasted</vt:lpstr>
      <vt:lpstr>costs_capacity</vt:lpstr>
      <vt:lpstr>costs_GCA</vt:lpstr>
      <vt:lpstr>costs_TAG</vt:lpstr>
      <vt:lpstr>discount_DZK</vt:lpstr>
      <vt:lpstr>discount_storage_entry</vt:lpstr>
      <vt:lpstr>discount_storage_exit</vt:lpstr>
      <vt:lpstr>EX_split_entry_theor</vt:lpstr>
      <vt:lpstr>GCV</vt:lpstr>
      <vt:lpstr>max_increase</vt:lpstr>
      <vt:lpstr>NIC_distance</vt:lpstr>
      <vt:lpstr>VG_discount</vt:lpstr>
      <vt:lpstr>VG_discount_entry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Ischia Alessandro</dc:creator>
  <cp:lastModifiedBy>Markus Krug</cp:lastModifiedBy>
  <cp:lastPrinted>2019-10-21T08:36:33Z</cp:lastPrinted>
  <dcterms:created xsi:type="dcterms:W3CDTF">2018-10-09T15:02:03Z</dcterms:created>
  <dcterms:modified xsi:type="dcterms:W3CDTF">2020-04-14T14:52:22Z</dcterms:modified>
</cp:coreProperties>
</file>