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L:\Gas\Projekte und Fachthemen\02_Netzzugang Fernleitungsnetz NZ-FN\Kosten- und Tarifmethode\Implementierung TAR NC\"/>
    </mc:Choice>
  </mc:AlternateContent>
  <xr:revisionPtr revIDLastSave="0" documentId="8_{33F6572E-A418-4248-AF45-8B6ECC95D4C3}" xr6:coauthVersionLast="31" xr6:coauthVersionMax="31" xr10:uidLastSave="{00000000-0000-0000-0000-000000000000}"/>
  <workbookProtection workbookPassword="9162" lockStructure="1"/>
  <bookViews>
    <workbookView xWindow="0" yWindow="0" windowWidth="28800" windowHeight="12225" tabRatio="837" xr2:uid="{00000000-000D-0000-FFFF-FFFF00000000}"/>
  </bookViews>
  <sheets>
    <sheet name="Reference price simulation" sheetId="46" r:id="rId1"/>
    <sheet name="Input&gt;" sheetId="47" r:id="rId2"/>
    <sheet name="Costs" sheetId="48" r:id="rId3"/>
    <sheet name="Forecasted contracted capacity" sheetId="49" r:id="rId4"/>
    <sheet name="Overview" sheetId="1" state="hidden" r:id="rId5"/>
    <sheet name="Calc&gt;Tariffs" sheetId="7" state="hidden" r:id="rId6"/>
    <sheet name="VTPB" sheetId="2" state="hidden" r:id="rId7"/>
    <sheet name="VTPB_NICT" sheetId="16" state="hidden" r:id="rId8"/>
    <sheet name="CAA" sheetId="23" state="hidden" r:id="rId9"/>
    <sheet name="Calc&gt;Benchmark" sheetId="45" state="hidden" r:id="rId10"/>
    <sheet name="Benchmark" sheetId="38" state="hidden" r:id="rId11"/>
    <sheet name="CommCalc SI" sheetId="40" state="hidden" r:id="rId12"/>
    <sheet name="Tariffs FGSZ" sheetId="41" state="hidden" r:id="rId13"/>
    <sheet name="Calc CWD&gt;" sheetId="42" state="hidden" r:id="rId14"/>
    <sheet name="CWD Weights" sheetId="34" state="hidden" r:id="rId15"/>
    <sheet name="CWD Tariffs" sheetId="35" state="hidden" r:id="rId16"/>
    <sheet name="Parameters&gt;" sheetId="6" state="hidden" r:id="rId17"/>
    <sheet name="Costscalc" sheetId="12" state="hidden" r:id="rId18"/>
    <sheet name="Reference VO 2017" sheetId="11" state="hidden" r:id="rId19"/>
    <sheet name="Forecasts" sheetId="13" state="hidden" r:id="rId20"/>
    <sheet name="Distances" sheetId="24" state="hidden" r:id="rId21"/>
  </sheets>
  <externalReferences>
    <externalReference r:id="rId22"/>
  </externalReferences>
  <definedNames>
    <definedName name="_xlnm._FilterDatabase" localSheetId="19" hidden="1">Forecasts!$A$4:$F$34</definedName>
    <definedName name="_xlnm._FilterDatabase" localSheetId="18" hidden="1">'Reference VO 2017'!$A$4:$G$34</definedName>
    <definedName name="_xlnm._FilterDatabase" localSheetId="6" hidden="1">VTPB!$A$1:$D$3</definedName>
    <definedName name="AC_total">'[1]Cover, Parameters'!$E$43</definedName>
    <definedName name="base_tariff_entry" localSheetId="13">VTPB!#REF!</definedName>
    <definedName name="base_tariff_entry" localSheetId="9">VTPB!#REF!</definedName>
    <definedName name="base_tariff_entry">VTPB!#REF!</definedName>
    <definedName name="base_tariff_entry_comm" localSheetId="7">VTPB_NICT!$C$26</definedName>
    <definedName name="base_tariff_exit" localSheetId="13">VTPB!#REF!</definedName>
    <definedName name="base_tariff_exit" localSheetId="9">VTPB!#REF!</definedName>
    <definedName name="base_tariff_exit">VTPB!#REF!</definedName>
    <definedName name="base_tariff_exit_comm" localSheetId="7">VTPB_NICT!$C$72</definedName>
    <definedName name="benchmark_m">Overview!$C$9</definedName>
    <definedName name="benchmark_moso" localSheetId="13">Overview!#REF!</definedName>
    <definedName name="benchmark_moso" localSheetId="9">Overview!#REF!</definedName>
    <definedName name="benchmark_moso">Overview!#REF!</definedName>
    <definedName name="costs_capacity">VTPB!$C$3</definedName>
    <definedName name="costs_commodity" localSheetId="7">VTPB_NICT!$C$3</definedName>
    <definedName name="costs_exit">[1]VTPB!$C$36</definedName>
    <definedName name="costs_GCA">Overview!$C$14</definedName>
    <definedName name="costs_GCA_var">Overview!$C$15</definedName>
    <definedName name="costs_TAG">Overview!$C$16</definedName>
    <definedName name="costs_TAG_var">Overview!$C$17</definedName>
    <definedName name="CT_apply">Overview!$C$29</definedName>
    <definedName name="CT_costshare" localSheetId="13">Overview!#REF!</definedName>
    <definedName name="CT_costshare" localSheetId="9">Overview!#REF!</definedName>
    <definedName name="CT_costshare">Overview!#REF!</definedName>
    <definedName name="CT_entry" localSheetId="13">#REF!</definedName>
    <definedName name="CT_entry" localSheetId="9">#REF!</definedName>
    <definedName name="CT_entry">#REF!</definedName>
    <definedName name="CT_entry_costshare" localSheetId="13">Overview!#REF!</definedName>
    <definedName name="CT_entry_costshare" localSheetId="9">Overview!#REF!</definedName>
    <definedName name="CT_entry_costshare">Overview!#REF!</definedName>
    <definedName name="CT_entry_flat" localSheetId="13">#REF!</definedName>
    <definedName name="CT_entry_flat" localSheetId="9">#REF!</definedName>
    <definedName name="CT_entry_flat">#REF!</definedName>
    <definedName name="CT_exit" localSheetId="13">#REF!</definedName>
    <definedName name="CT_exit" localSheetId="9">#REF!</definedName>
    <definedName name="CT_exit">#REF!</definedName>
    <definedName name="CT_exit_flat" localSheetId="13">#REF!</definedName>
    <definedName name="CT_exit_flat" localSheetId="9">#REF!</definedName>
    <definedName name="CT_exit_flat">#REF!</definedName>
    <definedName name="CT_included">Overview!$C$30</definedName>
    <definedName name="CWD_DZK">Overview!$K$2</definedName>
    <definedName name="diff_MuMo_act">Overview!$C$32</definedName>
    <definedName name="diff_MuMo_plan">Overview!$C$33</definedName>
    <definedName name="discount_DZK">Overview!$C$5</definedName>
    <definedName name="discount_storage_entry">Overview!$C$6</definedName>
    <definedName name="discount_storage_exit">Overview!$C$7</definedName>
    <definedName name="EX_split_entry_theor">VTPB!$C$24</definedName>
    <definedName name="EX_split_entry_theor_comm" localSheetId="7">VTPB_NICT!$C$24</definedName>
    <definedName name="GCV">Overview!$C$4</definedName>
    <definedName name="ITC_from_GCA" localSheetId="13">#REF!</definedName>
    <definedName name="ITC_from_GCA" localSheetId="9">#REF!</definedName>
    <definedName name="ITC_from_GCA">#REF!</definedName>
    <definedName name="ITC_from_TAG" localSheetId="13">#REF!</definedName>
    <definedName name="ITC_from_TAG" localSheetId="9">#REF!</definedName>
    <definedName name="ITC_from_TAG">#REF!</definedName>
    <definedName name="keep_constant" localSheetId="13">Overview!#REF!</definedName>
    <definedName name="keep_constant" localSheetId="9">Overview!#REF!</definedName>
    <definedName name="keep_constant">Overview!#REF!</definedName>
    <definedName name="manual_split" localSheetId="13">Overview!#REF!</definedName>
    <definedName name="manual_split" localSheetId="9">Overview!#REF!</definedName>
    <definedName name="manual_split">Overview!#REF!</definedName>
    <definedName name="max_decrease" localSheetId="13">Overview!#REF!</definedName>
    <definedName name="max_decrease" localSheetId="9">Overview!#REF!</definedName>
    <definedName name="max_decrease">Overview!#REF!</definedName>
    <definedName name="max_decrease_m" localSheetId="13">Overview!#REF!</definedName>
    <definedName name="max_decrease_m" localSheetId="9">Overview!#REF!</definedName>
    <definedName name="max_decrease_m">Overview!#REF!</definedName>
    <definedName name="max_increase">Overview!$C$8</definedName>
    <definedName name="max_increase_BgmT" localSheetId="13">Overview!#REF!</definedName>
    <definedName name="max_increase_BgmT" localSheetId="9">Overview!#REF!</definedName>
    <definedName name="max_increase_BgmT">Overview!#REF!</definedName>
    <definedName name="max_increase_stor" localSheetId="13">Overview!#REF!</definedName>
    <definedName name="max_increase_stor" localSheetId="9">Overview!#REF!</definedName>
    <definedName name="max_increase_stor">Overview!#REF!</definedName>
    <definedName name="max_increaseBgmT" localSheetId="13">Overview!#REF!</definedName>
    <definedName name="max_increaseBgmT" localSheetId="9">Overview!#REF!</definedName>
    <definedName name="max_increaseBgmT">Overview!#REF!</definedName>
    <definedName name="rescaling_entry" localSheetId="13">VTPB!#REF!</definedName>
    <definedName name="rescaling_entry" localSheetId="9">VTPB!#REF!</definedName>
    <definedName name="rescaling_entry">VTPB!#REF!</definedName>
    <definedName name="rescaling_entry_comm" localSheetId="7">VTPB_NICT!$C$27</definedName>
    <definedName name="rescaling_exit" localSheetId="13">VTPB!#REF!</definedName>
    <definedName name="rescaling_exit" localSheetId="9">VTPB!#REF!</definedName>
    <definedName name="rescaling_exit">VTPB!#REF!</definedName>
    <definedName name="rescaling_exit_comm" localSheetId="7">VTPB_NICT!$C$73</definedName>
    <definedName name="scenario_BMGTex">Overview!#REF!</definedName>
    <definedName name="scenario_costs" localSheetId="13">Overview!#REF!</definedName>
    <definedName name="scenario_costs" localSheetId="9">Overview!#REF!</definedName>
    <definedName name="scenario_costs">Overview!#REF!</definedName>
    <definedName name="scenario_flows" localSheetId="13">Overview!#REF!</definedName>
    <definedName name="scenario_flows" localSheetId="9">Overview!#REF!</definedName>
    <definedName name="scenario_flows">Overview!#REF!</definedName>
    <definedName name="scenario_refvol" localSheetId="13">Overview!#REF!</definedName>
    <definedName name="scenario_refvol" localSheetId="9">Overview!#REF!</definedName>
    <definedName name="scenario_refvol">Overview!#REF!</definedName>
    <definedName name="scenario_tariffs" localSheetId="13">Overview!#REF!</definedName>
    <definedName name="scenario_tariffs" localSheetId="9">Overview!#REF!</definedName>
    <definedName name="scenario_tariffs">Overview!#REF!</definedName>
    <definedName name="solver_adj" localSheetId="4" hidden="1">Overview!$C$9</definedName>
    <definedName name="solver_cvg" localSheetId="4" hidden="1">0.0001</definedName>
    <definedName name="solver_drv" localSheetId="4" hidden="1">2</definedName>
    <definedName name="solver_eng" localSheetId="4" hidden="1">1</definedName>
    <definedName name="solver_est" localSheetId="4" hidden="1">1</definedName>
    <definedName name="solver_itr" localSheetId="4" hidden="1">2147483647</definedName>
    <definedName name="solver_mip" localSheetId="4" hidden="1">2147483647</definedName>
    <definedName name="solver_mni" localSheetId="4" hidden="1">30</definedName>
    <definedName name="solver_mrt" localSheetId="4" hidden="1">0.075</definedName>
    <definedName name="solver_msl" localSheetId="4" hidden="1">2</definedName>
    <definedName name="solver_neg" localSheetId="4" hidden="1">1</definedName>
    <definedName name="solver_nod" localSheetId="4" hidden="1">2147483647</definedName>
    <definedName name="solver_num" localSheetId="4" hidden="1">0</definedName>
    <definedName name="solver_nwt" localSheetId="4" hidden="1">1</definedName>
    <definedName name="solver_opt" localSheetId="4" hidden="1">Overview!$C$32</definedName>
    <definedName name="solver_pre" localSheetId="4" hidden="1">0.000001</definedName>
    <definedName name="solver_rbv" localSheetId="4" hidden="1">2</definedName>
    <definedName name="solver_rlx" localSheetId="4" hidden="1">2</definedName>
    <definedName name="solver_rsd" localSheetId="4" hidden="1">0</definedName>
    <definedName name="solver_scl" localSheetId="4" hidden="1">2</definedName>
    <definedName name="solver_sho" localSheetId="4" hidden="1">2</definedName>
    <definedName name="solver_ssz" localSheetId="4" hidden="1">100</definedName>
    <definedName name="solver_tim" localSheetId="4" hidden="1">2147483647</definedName>
    <definedName name="solver_tol" localSheetId="4" hidden="1">0.01</definedName>
    <definedName name="solver_typ" localSheetId="4" hidden="1">3</definedName>
    <definedName name="solver_val" localSheetId="4" hidden="1">0.993959579821011</definedName>
    <definedName name="solver_ver" localSheetId="4" hidden="1">3</definedName>
  </definedNames>
  <calcPr calcId="179017"/>
</workbook>
</file>

<file path=xl/calcChain.xml><?xml version="1.0" encoding="utf-8"?>
<calcChain xmlns="http://schemas.openxmlformats.org/spreadsheetml/2006/main">
  <c r="C4" i="48" l="1"/>
  <c r="G31" i="46" l="1"/>
  <c r="G30" i="46"/>
  <c r="G28" i="46"/>
  <c r="G27" i="46"/>
  <c r="C9" i="12"/>
  <c r="C8" i="12"/>
  <c r="C5" i="12"/>
  <c r="C4" i="12"/>
  <c r="C3" i="12"/>
  <c r="F6" i="13"/>
  <c r="F7" i="13"/>
  <c r="F8" i="13"/>
  <c r="F9" i="13"/>
  <c r="F10" i="13"/>
  <c r="F11" i="13"/>
  <c r="F12" i="13"/>
  <c r="F13" i="13"/>
  <c r="F14" i="13"/>
  <c r="F15" i="13"/>
  <c r="F16" i="13"/>
  <c r="F17" i="13"/>
  <c r="F18" i="13"/>
  <c r="F19" i="13"/>
  <c r="F20" i="13"/>
  <c r="F21" i="13"/>
  <c r="F22" i="13"/>
  <c r="F23" i="13"/>
  <c r="F24" i="13"/>
  <c r="F25" i="13"/>
  <c r="F26" i="13"/>
  <c r="F27" i="13"/>
  <c r="F28" i="13"/>
  <c r="F29" i="13"/>
  <c r="F30" i="13"/>
  <c r="F31" i="13"/>
  <c r="F32" i="13"/>
  <c r="F33" i="13"/>
  <c r="F34" i="13"/>
  <c r="F5" i="13"/>
  <c r="C7" i="48"/>
  <c r="C7" i="12" s="1"/>
  <c r="O31" i="2" l="1"/>
  <c r="P31" i="2"/>
  <c r="Q31" i="2"/>
  <c r="R31" i="2"/>
  <c r="S31" i="2"/>
  <c r="T31" i="2"/>
  <c r="U31" i="2"/>
  <c r="V31" i="2"/>
  <c r="W31" i="2"/>
  <c r="X31" i="2"/>
  <c r="Y31" i="2"/>
  <c r="Z31" i="2"/>
  <c r="AA31" i="2"/>
  <c r="AB31" i="2"/>
  <c r="AC31" i="2"/>
  <c r="AD31" i="2"/>
  <c r="AE31" i="2"/>
  <c r="AF31" i="2"/>
  <c r="AG31" i="2"/>
  <c r="AH31" i="2"/>
  <c r="AI31" i="2"/>
  <c r="AJ31" i="2"/>
  <c r="AK31" i="2"/>
  <c r="AL31" i="2"/>
  <c r="AM31" i="2"/>
  <c r="AN31" i="2"/>
  <c r="AO31" i="2"/>
  <c r="AP31" i="2"/>
  <c r="N31" i="2"/>
  <c r="E18" i="2" l="1"/>
  <c r="K37" i="2" l="1"/>
  <c r="D10" i="2"/>
  <c r="K13" i="16"/>
  <c r="K14" i="16"/>
  <c r="N12" i="16"/>
  <c r="E38" i="16" l="1"/>
  <c r="G3" i="35" l="1"/>
  <c r="L23" i="35"/>
  <c r="L24" i="35"/>
  <c r="L25" i="35"/>
  <c r="L26" i="35"/>
  <c r="L27" i="35"/>
  <c r="L28" i="35"/>
  <c r="L22" i="35"/>
  <c r="L9" i="35"/>
  <c r="L10" i="35"/>
  <c r="F3" i="35"/>
  <c r="I3" i="35"/>
  <c r="M26" i="35" s="1"/>
  <c r="H3" i="35"/>
  <c r="M11" i="35" s="1"/>
  <c r="N11" i="35" s="1"/>
  <c r="B23" i="35"/>
  <c r="H23" i="35" s="1"/>
  <c r="B24" i="35"/>
  <c r="H24" i="35" s="1"/>
  <c r="B25" i="35"/>
  <c r="H25" i="35" s="1"/>
  <c r="B26" i="35"/>
  <c r="H26" i="35" s="1"/>
  <c r="B27" i="35"/>
  <c r="H27" i="35" s="1"/>
  <c r="B28" i="35"/>
  <c r="H28" i="35" s="1"/>
  <c r="B22" i="35"/>
  <c r="H22" i="35" s="1"/>
  <c r="F5" i="34"/>
  <c r="G8" i="34"/>
  <c r="B6" i="34"/>
  <c r="B7" i="34"/>
  <c r="B8" i="34"/>
  <c r="B9" i="34"/>
  <c r="B10" i="34"/>
  <c r="B11" i="34"/>
  <c r="B12" i="34"/>
  <c r="B13" i="34"/>
  <c r="B5" i="34"/>
  <c r="E3" i="34"/>
  <c r="F3" i="34"/>
  <c r="G3" i="34"/>
  <c r="H3" i="34"/>
  <c r="I3" i="34"/>
  <c r="J3" i="34"/>
  <c r="D3" i="34"/>
  <c r="E10" i="24" l="1"/>
  <c r="G5" i="13" l="1"/>
  <c r="G30" i="11" l="1"/>
  <c r="G31" i="11"/>
  <c r="G32" i="11"/>
  <c r="G33" i="11"/>
  <c r="G34" i="11"/>
  <c r="G29" i="11"/>
  <c r="E27" i="24" l="1"/>
  <c r="E26" i="24"/>
  <c r="E25" i="24"/>
  <c r="E28" i="24"/>
  <c r="P47" i="1" l="1"/>
  <c r="P48" i="1"/>
  <c r="P49" i="1"/>
  <c r="P50" i="1"/>
  <c r="P51" i="1"/>
  <c r="P46" i="1"/>
  <c r="P10" i="1"/>
  <c r="P11" i="1"/>
  <c r="P12" i="1"/>
  <c r="P13" i="1"/>
  <c r="P14" i="1"/>
  <c r="P15" i="1"/>
  <c r="P16" i="1"/>
  <c r="P17" i="1"/>
  <c r="P18" i="1"/>
  <c r="P19" i="1"/>
  <c r="P20" i="1"/>
  <c r="P21" i="1"/>
  <c r="P22" i="1"/>
  <c r="P23" i="1"/>
  <c r="P24" i="1"/>
  <c r="P25" i="1"/>
  <c r="P26" i="1"/>
  <c r="P27" i="1"/>
  <c r="P28" i="1"/>
  <c r="P29" i="1"/>
  <c r="P30" i="1"/>
  <c r="P31" i="1"/>
  <c r="P32" i="1"/>
  <c r="P9" i="1"/>
  <c r="E16" i="23" l="1"/>
  <c r="D4" i="34" l="1"/>
  <c r="C22" i="35"/>
  <c r="O22" i="35" s="1"/>
  <c r="C25" i="41"/>
  <c r="D25" i="41"/>
  <c r="E25" i="41"/>
  <c r="C26" i="41"/>
  <c r="D26" i="41"/>
  <c r="E26" i="41"/>
  <c r="C27" i="41"/>
  <c r="D27" i="41"/>
  <c r="E27" i="41"/>
  <c r="C28" i="41"/>
  <c r="C43" i="41" s="1"/>
  <c r="D28" i="41"/>
  <c r="E28" i="41"/>
  <c r="E43" i="41" s="1"/>
  <c r="E44" i="41" s="1"/>
  <c r="C29" i="41"/>
  <c r="D29" i="41"/>
  <c r="E29" i="41"/>
  <c r="C30" i="41"/>
  <c r="D30" i="41"/>
  <c r="E30" i="41"/>
  <c r="D31" i="41"/>
  <c r="E31" i="41"/>
  <c r="C33" i="41"/>
  <c r="D33" i="41"/>
  <c r="E33" i="41"/>
  <c r="F33" i="41"/>
  <c r="G33" i="41"/>
  <c r="H33" i="41"/>
  <c r="C34" i="41"/>
  <c r="D34" i="41"/>
  <c r="E34" i="41"/>
  <c r="F35" i="41"/>
  <c r="C36" i="41"/>
  <c r="D36" i="41"/>
  <c r="E36" i="41"/>
  <c r="F36" i="41"/>
  <c r="G36" i="41"/>
  <c r="H36" i="41"/>
  <c r="C37" i="41"/>
  <c r="D37" i="41"/>
  <c r="E37" i="41"/>
  <c r="F37" i="41"/>
  <c r="G37" i="41"/>
  <c r="H37" i="41"/>
  <c r="C38" i="41"/>
  <c r="D38" i="41"/>
  <c r="E38" i="41"/>
  <c r="F38" i="41"/>
  <c r="G38" i="41"/>
  <c r="H38" i="41"/>
  <c r="C39" i="41"/>
  <c r="D39" i="41"/>
  <c r="E39" i="41"/>
  <c r="F39" i="41"/>
  <c r="G39" i="41"/>
  <c r="H39" i="41"/>
  <c r="D40" i="41"/>
  <c r="E40" i="41"/>
  <c r="G40" i="41"/>
  <c r="H40" i="41"/>
  <c r="D43" i="41"/>
  <c r="D5" i="40"/>
  <c r="B5" i="40" s="1"/>
  <c r="A5" i="40" s="1"/>
  <c r="H18" i="38" s="1"/>
  <c r="G7" i="38"/>
  <c r="I7" i="38" s="1"/>
  <c r="G8" i="38"/>
  <c r="H8" i="38"/>
  <c r="G17" i="38"/>
  <c r="G18" i="38"/>
  <c r="D44" i="41" l="1"/>
  <c r="J16" i="23"/>
  <c r="H4" i="34" s="1"/>
  <c r="C26" i="35" s="1"/>
  <c r="O26" i="35" s="1"/>
  <c r="M16" i="23"/>
  <c r="I16" i="23"/>
  <c r="G4" i="34" s="1"/>
  <c r="C25" i="35" s="1"/>
  <c r="O25" i="35" s="1"/>
  <c r="H48" i="16" l="1"/>
  <c r="H41" i="16"/>
  <c r="E10" i="16" l="1"/>
  <c r="E11" i="16"/>
  <c r="E12" i="16"/>
  <c r="E13" i="16"/>
  <c r="E9" i="16"/>
  <c r="I10" i="16"/>
  <c r="I11" i="16"/>
  <c r="I13" i="16"/>
  <c r="I14" i="16"/>
  <c r="I15" i="16"/>
  <c r="I16" i="16"/>
  <c r="I17" i="16"/>
  <c r="I18" i="16"/>
  <c r="E39" i="2" l="1"/>
  <c r="E13" i="2"/>
  <c r="K34" i="2" l="1"/>
  <c r="M10" i="35" l="1"/>
  <c r="M29" i="35"/>
  <c r="M30" i="35"/>
  <c r="H9" i="35"/>
  <c r="L10" i="11" l="1"/>
  <c r="L23" i="11"/>
  <c r="E40" i="2" s="1"/>
  <c r="E14" i="16" l="1"/>
  <c r="E14" i="2"/>
  <c r="N33" i="16"/>
  <c r="N34" i="16"/>
  <c r="N35" i="16"/>
  <c r="N36" i="16"/>
  <c r="N37" i="16"/>
  <c r="N38" i="16"/>
  <c r="N39" i="16"/>
  <c r="N40" i="16"/>
  <c r="N41" i="16"/>
  <c r="N42" i="16"/>
  <c r="N43" i="16"/>
  <c r="N44" i="16"/>
  <c r="N45" i="16"/>
  <c r="N46" i="16"/>
  <c r="N47" i="16"/>
  <c r="N48" i="16"/>
  <c r="N49" i="16"/>
  <c r="N50" i="16"/>
  <c r="N51" i="16"/>
  <c r="N52" i="16"/>
  <c r="N53" i="16"/>
  <c r="N54" i="16"/>
  <c r="N55" i="16"/>
  <c r="N56" i="16"/>
  <c r="N32" i="16"/>
  <c r="N10" i="16"/>
  <c r="N11" i="16"/>
  <c r="N13" i="16"/>
  <c r="N14" i="16"/>
  <c r="N15" i="16"/>
  <c r="N16" i="16"/>
  <c r="N17" i="16"/>
  <c r="N18" i="16"/>
  <c r="N9" i="16"/>
  <c r="O30" i="11" l="1"/>
  <c r="P28" i="11"/>
  <c r="P24" i="11"/>
  <c r="F5" i="11"/>
  <c r="F6" i="11" l="1"/>
  <c r="F7" i="11"/>
  <c r="F8" i="11"/>
  <c r="F9" i="11"/>
  <c r="F10" i="11"/>
  <c r="F11" i="11"/>
  <c r="F12" i="11"/>
  <c r="F13" i="11"/>
  <c r="F14" i="11"/>
  <c r="F15" i="11"/>
  <c r="F16" i="11"/>
  <c r="F17" i="11"/>
  <c r="F18" i="11"/>
  <c r="F19" i="11"/>
  <c r="F20" i="11"/>
  <c r="F21" i="11"/>
  <c r="F22" i="11"/>
  <c r="F23" i="11"/>
  <c r="F24" i="11"/>
  <c r="F25" i="11"/>
  <c r="F26" i="11"/>
  <c r="H14" i="2" s="1"/>
  <c r="F27" i="11"/>
  <c r="H13" i="2" s="1"/>
  <c r="F28" i="11"/>
  <c r="K18" i="2" l="1"/>
  <c r="P18" i="2" s="1"/>
  <c r="T18" i="2" s="1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N40" i="2"/>
  <c r="N39" i="2"/>
  <c r="R32" i="2"/>
  <c r="R18" i="2"/>
  <c r="R17" i="2"/>
  <c r="R16" i="2"/>
  <c r="R15" i="2"/>
  <c r="R10" i="2"/>
  <c r="R11" i="2"/>
  <c r="R12" i="2"/>
  <c r="R9" i="2"/>
  <c r="R14" i="2"/>
  <c r="R13" i="2"/>
  <c r="N14" i="2"/>
  <c r="N13" i="2"/>
  <c r="X18" i="2" l="1"/>
  <c r="Y18" i="2" l="1"/>
  <c r="AB18" i="2" s="1"/>
  <c r="AI18" i="2"/>
  <c r="J26" i="24" l="1"/>
  <c r="J27" i="24"/>
  <c r="J28" i="24"/>
  <c r="J25" i="24"/>
  <c r="J24" i="24"/>
  <c r="J18" i="24"/>
  <c r="J23" i="24"/>
  <c r="J13" i="24" s="1"/>
  <c r="P13" i="23"/>
  <c r="P14" i="23"/>
  <c r="P15" i="23"/>
  <c r="P11" i="23"/>
  <c r="P12" i="23"/>
  <c r="P7" i="23"/>
  <c r="P8" i="23"/>
  <c r="P9" i="23"/>
  <c r="P10" i="23"/>
  <c r="P6" i="23"/>
  <c r="J16" i="24" l="1"/>
  <c r="J20" i="24"/>
  <c r="J14" i="24"/>
  <c r="J21" i="24"/>
  <c r="C11" i="34"/>
  <c r="C8" i="34"/>
  <c r="C9" i="34"/>
  <c r="C13" i="35" s="1"/>
  <c r="C7" i="34"/>
  <c r="C11" i="35" s="1"/>
  <c r="G11" i="35" s="1"/>
  <c r="C13" i="34"/>
  <c r="C5" i="34"/>
  <c r="J19" i="24"/>
  <c r="J15" i="24"/>
  <c r="J22" i="24"/>
  <c r="J17" i="24"/>
  <c r="C12" i="34"/>
  <c r="C12" i="35"/>
  <c r="G12" i="35" s="1"/>
  <c r="C10" i="34"/>
  <c r="O11" i="35"/>
  <c r="C17" i="35"/>
  <c r="C9" i="35"/>
  <c r="O9" i="35"/>
  <c r="C6" i="34"/>
  <c r="C15" i="35"/>
  <c r="L16" i="23"/>
  <c r="K16" i="23"/>
  <c r="I4" i="34" s="1"/>
  <c r="C27" i="35" s="1"/>
  <c r="O27" i="35" s="1"/>
  <c r="H16" i="23"/>
  <c r="F4" i="34" s="1"/>
  <c r="C24" i="35" s="1"/>
  <c r="O24" i="35" s="1"/>
  <c r="G16" i="23"/>
  <c r="F16" i="23"/>
  <c r="R6" i="23" s="1"/>
  <c r="R13" i="23" l="1"/>
  <c r="R14" i="23"/>
  <c r="R8" i="23"/>
  <c r="R11" i="23"/>
  <c r="R12" i="23"/>
  <c r="R7" i="23"/>
  <c r="R9" i="23"/>
  <c r="R15" i="23"/>
  <c r="R10" i="23"/>
  <c r="C16" i="35"/>
  <c r="O28" i="35"/>
  <c r="J4" i="34"/>
  <c r="C28" i="35" s="1"/>
  <c r="C10" i="35"/>
  <c r="C14" i="35"/>
  <c r="O23" i="35"/>
  <c r="E4" i="34"/>
  <c r="C23" i="35" s="1"/>
  <c r="O10" i="35" l="1"/>
  <c r="O29" i="35"/>
  <c r="O30" i="35"/>
  <c r="E13" i="24"/>
  <c r="F19" i="24"/>
  <c r="H4" i="24"/>
  <c r="F4" i="24"/>
  <c r="I4" i="24"/>
  <c r="G4" i="24"/>
  <c r="E29" i="24"/>
  <c r="E14" i="24"/>
  <c r="E15" i="24"/>
  <c r="E16" i="24"/>
  <c r="E17" i="24"/>
  <c r="E18" i="24"/>
  <c r="E19" i="24"/>
  <c r="E20" i="24"/>
  <c r="E21" i="24"/>
  <c r="E22" i="24"/>
  <c r="E23" i="24"/>
  <c r="E24" i="24"/>
  <c r="E9" i="24"/>
  <c r="E12" i="24"/>
  <c r="E11" i="24"/>
  <c r="E8" i="24"/>
  <c r="E7" i="24"/>
  <c r="E6" i="24"/>
  <c r="E5" i="24"/>
  <c r="I29" i="24"/>
  <c r="H29" i="24"/>
  <c r="G29" i="24"/>
  <c r="F29" i="24"/>
  <c r="I28" i="24"/>
  <c r="H28" i="24"/>
  <c r="G28" i="24"/>
  <c r="F28" i="24"/>
  <c r="I27" i="24"/>
  <c r="H27" i="24"/>
  <c r="G27" i="24"/>
  <c r="F27" i="24"/>
  <c r="I26" i="24"/>
  <c r="H26" i="24"/>
  <c r="G26" i="24"/>
  <c r="F26" i="24"/>
  <c r="I25" i="24"/>
  <c r="H25" i="24"/>
  <c r="G25" i="24"/>
  <c r="F25" i="24"/>
  <c r="I24" i="24"/>
  <c r="H24" i="24"/>
  <c r="G24" i="24"/>
  <c r="F24" i="24"/>
  <c r="I23" i="24"/>
  <c r="H23" i="24"/>
  <c r="G23" i="24"/>
  <c r="F23" i="24"/>
  <c r="I22" i="24"/>
  <c r="H22" i="24"/>
  <c r="G22" i="24"/>
  <c r="F22" i="24"/>
  <c r="I21" i="24"/>
  <c r="H21" i="24"/>
  <c r="G21" i="24"/>
  <c r="F21" i="24"/>
  <c r="I20" i="24"/>
  <c r="H20" i="24"/>
  <c r="G20" i="24"/>
  <c r="F20" i="24"/>
  <c r="I19" i="24"/>
  <c r="H19" i="24"/>
  <c r="I18" i="24"/>
  <c r="H18" i="24"/>
  <c r="G18" i="24"/>
  <c r="F18" i="24"/>
  <c r="I17" i="24"/>
  <c r="H17" i="24"/>
  <c r="G17" i="24"/>
  <c r="F17" i="24"/>
  <c r="I16" i="24"/>
  <c r="H16" i="24"/>
  <c r="G16" i="24"/>
  <c r="F16" i="24"/>
  <c r="I15" i="24"/>
  <c r="H15" i="24"/>
  <c r="G15" i="24"/>
  <c r="F15" i="24"/>
  <c r="I14" i="24"/>
  <c r="H14" i="24"/>
  <c r="G14" i="24"/>
  <c r="F14" i="24"/>
  <c r="I13" i="24"/>
  <c r="H13" i="24"/>
  <c r="G13" i="24"/>
  <c r="F13" i="24"/>
  <c r="I12" i="24"/>
  <c r="H12" i="24"/>
  <c r="G12" i="24"/>
  <c r="F12" i="24"/>
  <c r="H11" i="24"/>
  <c r="G11" i="24"/>
  <c r="F11" i="24"/>
  <c r="I10" i="24"/>
  <c r="H10" i="24"/>
  <c r="G10" i="24"/>
  <c r="F10" i="24"/>
  <c r="I9" i="24"/>
  <c r="G9" i="24"/>
  <c r="F9" i="24"/>
  <c r="I8" i="24"/>
  <c r="H8" i="24"/>
  <c r="G8" i="24"/>
  <c r="I7" i="23" s="1"/>
  <c r="I15" i="23" s="1"/>
  <c r="F8" i="24"/>
  <c r="I7" i="24"/>
  <c r="H7" i="24"/>
  <c r="G7" i="24"/>
  <c r="F7" i="24"/>
  <c r="I6" i="24"/>
  <c r="H6" i="24"/>
  <c r="I10" i="23" s="1"/>
  <c r="F6" i="24"/>
  <c r="I5" i="24"/>
  <c r="H5" i="24"/>
  <c r="G5" i="24"/>
  <c r="H7" i="23" s="1"/>
  <c r="I6" i="23"/>
  <c r="H15" i="23" l="1"/>
  <c r="M7" i="23"/>
  <c r="M10" i="23"/>
  <c r="K14" i="11"/>
  <c r="I8" i="23"/>
  <c r="G7" i="34" s="1"/>
  <c r="G6" i="34"/>
  <c r="H8" i="23"/>
  <c r="F7" i="34" s="1"/>
  <c r="F6" i="34"/>
  <c r="G5" i="34"/>
  <c r="E7" i="23"/>
  <c r="E15" i="23" s="1"/>
  <c r="J5" i="34"/>
  <c r="L6" i="23" s="1"/>
  <c r="M6" i="23" s="1"/>
  <c r="F7" i="23"/>
  <c r="F15" i="23" s="1"/>
  <c r="H9" i="23"/>
  <c r="F8" i="34" s="1"/>
  <c r="F13" i="34"/>
  <c r="H13" i="23"/>
  <c r="L10" i="23"/>
  <c r="J9" i="34" s="1"/>
  <c r="L13" i="23"/>
  <c r="F11" i="23"/>
  <c r="L9" i="23"/>
  <c r="G13" i="34"/>
  <c r="I12" i="23"/>
  <c r="G11" i="34" s="1"/>
  <c r="H10" i="23"/>
  <c r="F9" i="34" s="1"/>
  <c r="H12" i="23"/>
  <c r="F11" i="34" s="1"/>
  <c r="J12" i="23"/>
  <c r="H11" i="34" s="1"/>
  <c r="J11" i="23"/>
  <c r="H10" i="34" s="1"/>
  <c r="G9" i="34"/>
  <c r="J10" i="23"/>
  <c r="H9" i="34" s="1"/>
  <c r="I13" i="23"/>
  <c r="J7" i="23"/>
  <c r="J13" i="23" s="1"/>
  <c r="J14" i="23" s="1"/>
  <c r="G29" i="13"/>
  <c r="G30" i="13"/>
  <c r="H9" i="16" s="1"/>
  <c r="G31" i="13"/>
  <c r="G32" i="13"/>
  <c r="G33" i="13"/>
  <c r="G34" i="13"/>
  <c r="G6" i="13"/>
  <c r="H11" i="16" s="1"/>
  <c r="G7" i="13"/>
  <c r="H12" i="16" s="1"/>
  <c r="G8" i="13"/>
  <c r="H15" i="16" s="1"/>
  <c r="G9" i="13"/>
  <c r="H16" i="16" s="1"/>
  <c r="G10" i="13"/>
  <c r="H17" i="16" s="1"/>
  <c r="G11" i="13"/>
  <c r="G12" i="13"/>
  <c r="G13" i="13"/>
  <c r="G14" i="13"/>
  <c r="G15" i="13"/>
  <c r="G16" i="13"/>
  <c r="G17" i="13"/>
  <c r="H18" i="16" s="1"/>
  <c r="G18" i="13"/>
  <c r="G19" i="13"/>
  <c r="I12" i="16" s="1"/>
  <c r="G20" i="13"/>
  <c r="G21" i="13"/>
  <c r="G22" i="13"/>
  <c r="G23" i="13"/>
  <c r="G24" i="13"/>
  <c r="G25" i="13"/>
  <c r="G26" i="13"/>
  <c r="H14" i="16" s="1"/>
  <c r="G27" i="13"/>
  <c r="H13" i="16" s="1"/>
  <c r="G28" i="13"/>
  <c r="G12" i="34" l="1"/>
  <c r="I14" i="23"/>
  <c r="F12" i="34"/>
  <c r="H14" i="23"/>
  <c r="J12" i="34"/>
  <c r="M13" i="23"/>
  <c r="L14" i="23"/>
  <c r="M14" i="23" s="1"/>
  <c r="E6" i="34"/>
  <c r="E5" i="34" s="1"/>
  <c r="F6" i="23" s="1"/>
  <c r="G15" i="23"/>
  <c r="G7" i="23"/>
  <c r="J8" i="34"/>
  <c r="M9" i="23"/>
  <c r="E10" i="34"/>
  <c r="G11" i="23"/>
  <c r="L7" i="23"/>
  <c r="L8" i="23"/>
  <c r="E8" i="23"/>
  <c r="D7" i="34" s="1"/>
  <c r="D6" i="34"/>
  <c r="J8" i="23"/>
  <c r="H7" i="34" s="1"/>
  <c r="H6" i="34"/>
  <c r="H5" i="34" s="1"/>
  <c r="J6" i="23" s="1"/>
  <c r="F8" i="23"/>
  <c r="J9" i="23"/>
  <c r="H8" i="34" s="1"/>
  <c r="J15" i="23"/>
  <c r="H13" i="34" s="1"/>
  <c r="F12" i="23"/>
  <c r="E13" i="34"/>
  <c r="H11" i="23"/>
  <c r="F10" i="34" s="1"/>
  <c r="I11" i="23"/>
  <c r="F9" i="23"/>
  <c r="H12" i="34"/>
  <c r="F13" i="23"/>
  <c r="F10" i="23"/>
  <c r="E9" i="34" s="1"/>
  <c r="L11" i="23"/>
  <c r="H53" i="16"/>
  <c r="I41" i="16"/>
  <c r="I33" i="16"/>
  <c r="I34" i="16"/>
  <c r="I35" i="16"/>
  <c r="I36" i="16"/>
  <c r="H37" i="16"/>
  <c r="I37" i="16"/>
  <c r="H38" i="16"/>
  <c r="I38" i="16"/>
  <c r="I39" i="16"/>
  <c r="I40" i="16"/>
  <c r="I32" i="16"/>
  <c r="H32" i="16"/>
  <c r="J17" i="23" l="1"/>
  <c r="J18" i="23" s="1"/>
  <c r="F14" i="34"/>
  <c r="D24" i="35" s="1"/>
  <c r="H17" i="23"/>
  <c r="H18" i="23" s="1"/>
  <c r="G10" i="34"/>
  <c r="G14" i="34" s="1"/>
  <c r="D25" i="35" s="1"/>
  <c r="I17" i="23"/>
  <c r="I18" i="23" s="1"/>
  <c r="M15" i="23"/>
  <c r="G6" i="23"/>
  <c r="E12" i="34"/>
  <c r="F14" i="23"/>
  <c r="F17" i="23" s="1"/>
  <c r="E7" i="34"/>
  <c r="G8" i="23"/>
  <c r="J10" i="34"/>
  <c r="M11" i="23"/>
  <c r="E8" i="34"/>
  <c r="G9" i="23"/>
  <c r="E11" i="34"/>
  <c r="G12" i="23"/>
  <c r="H14" i="34"/>
  <c r="D26" i="35" s="1"/>
  <c r="D5" i="34"/>
  <c r="E6" i="23" s="1"/>
  <c r="G10" i="23"/>
  <c r="G13" i="23"/>
  <c r="G14" i="23" s="1"/>
  <c r="E14" i="34" l="1"/>
  <c r="D23" i="35" s="1"/>
  <c r="G17" i="23"/>
  <c r="G18" i="23" s="1"/>
  <c r="F18" i="23"/>
  <c r="I9" i="16"/>
  <c r="H10" i="16"/>
  <c r="F22" i="16" s="1"/>
  <c r="H6" i="13"/>
  <c r="H7" i="13"/>
  <c r="H8" i="13"/>
  <c r="H9" i="13"/>
  <c r="H10" i="13"/>
  <c r="H11" i="13"/>
  <c r="H12" i="13"/>
  <c r="H13" i="13"/>
  <c r="H14" i="13"/>
  <c r="H15" i="13"/>
  <c r="H16" i="13"/>
  <c r="I16" i="13" s="1"/>
  <c r="H17" i="13"/>
  <c r="H18" i="13"/>
  <c r="I18" i="13" s="1"/>
  <c r="H19" i="13"/>
  <c r="I19" i="13" s="1"/>
  <c r="H20" i="13"/>
  <c r="I20" i="13" s="1"/>
  <c r="H21" i="13"/>
  <c r="I21" i="13" s="1"/>
  <c r="H22" i="13"/>
  <c r="I22" i="13" s="1"/>
  <c r="H23" i="13"/>
  <c r="I23" i="13" s="1"/>
  <c r="H24" i="13"/>
  <c r="I24" i="13" s="1"/>
  <c r="H25" i="13"/>
  <c r="H26" i="13"/>
  <c r="I26" i="13" s="1"/>
  <c r="H27" i="13"/>
  <c r="I27" i="13" s="1"/>
  <c r="H28" i="13"/>
  <c r="I28" i="13" s="1"/>
  <c r="H29" i="13"/>
  <c r="I29" i="13" s="1"/>
  <c r="H30" i="13"/>
  <c r="I30" i="13" s="1"/>
  <c r="H31" i="13"/>
  <c r="I31" i="13" s="1"/>
  <c r="H32" i="13"/>
  <c r="I32" i="13" s="1"/>
  <c r="H33" i="13"/>
  <c r="I33" i="13" s="1"/>
  <c r="H34" i="13"/>
  <c r="I34" i="13" s="1"/>
  <c r="H5" i="13"/>
  <c r="H68" i="16"/>
  <c r="H67" i="16"/>
  <c r="H66" i="16"/>
  <c r="H65" i="16"/>
  <c r="H64" i="16"/>
  <c r="B64" i="16"/>
  <c r="H63" i="16"/>
  <c r="H62" i="16"/>
  <c r="A62" i="16"/>
  <c r="C61" i="16"/>
  <c r="P56" i="16"/>
  <c r="M56" i="16"/>
  <c r="E56" i="16"/>
  <c r="P55" i="16"/>
  <c r="M55" i="16"/>
  <c r="E55" i="16"/>
  <c r="P54" i="16"/>
  <c r="M54" i="16"/>
  <c r="E54" i="16"/>
  <c r="P53" i="16"/>
  <c r="M53" i="16"/>
  <c r="G67" i="16"/>
  <c r="F67" i="16"/>
  <c r="E53" i="16"/>
  <c r="P52" i="16"/>
  <c r="M52" i="16"/>
  <c r="E52" i="16"/>
  <c r="P51" i="16"/>
  <c r="M51" i="16"/>
  <c r="E51" i="16"/>
  <c r="P50" i="16"/>
  <c r="M50" i="16"/>
  <c r="E50" i="16"/>
  <c r="P49" i="16"/>
  <c r="M49" i="16"/>
  <c r="E49" i="16"/>
  <c r="P48" i="16"/>
  <c r="M48" i="16"/>
  <c r="E48" i="16"/>
  <c r="P47" i="16"/>
  <c r="M47" i="16"/>
  <c r="E47" i="16"/>
  <c r="P46" i="16"/>
  <c r="M46" i="16"/>
  <c r="E46" i="16"/>
  <c r="P45" i="16"/>
  <c r="M45" i="16"/>
  <c r="E45" i="16"/>
  <c r="P44" i="16"/>
  <c r="M44" i="16"/>
  <c r="E44" i="16"/>
  <c r="P43" i="16"/>
  <c r="M43" i="16"/>
  <c r="E43" i="16"/>
  <c r="P42" i="16"/>
  <c r="M42" i="16"/>
  <c r="E42" i="16"/>
  <c r="P41" i="16"/>
  <c r="M41" i="16"/>
  <c r="F66" i="16"/>
  <c r="E41" i="16"/>
  <c r="P40" i="16"/>
  <c r="M40" i="16"/>
  <c r="K40" i="16"/>
  <c r="E40" i="16"/>
  <c r="P39" i="16"/>
  <c r="M39" i="16"/>
  <c r="K39" i="16"/>
  <c r="E39" i="16"/>
  <c r="P38" i="16"/>
  <c r="M38" i="16"/>
  <c r="P37" i="16"/>
  <c r="M37" i="16"/>
  <c r="E37" i="16"/>
  <c r="P36" i="16"/>
  <c r="M36" i="16"/>
  <c r="E36" i="16"/>
  <c r="P35" i="16"/>
  <c r="M35" i="16"/>
  <c r="G63" i="16"/>
  <c r="E35" i="16"/>
  <c r="P34" i="16"/>
  <c r="M34" i="16"/>
  <c r="E34" i="16"/>
  <c r="P33" i="16"/>
  <c r="M33" i="16"/>
  <c r="E33" i="16"/>
  <c r="P32" i="16"/>
  <c r="M32" i="16"/>
  <c r="G62" i="16"/>
  <c r="F62" i="16"/>
  <c r="E32" i="16"/>
  <c r="A32" i="16"/>
  <c r="A33" i="16" s="1"/>
  <c r="A34" i="16" s="1"/>
  <c r="A35" i="16" s="1"/>
  <c r="A36" i="16" s="1"/>
  <c r="A37" i="16" s="1"/>
  <c r="A38" i="16" s="1"/>
  <c r="A39" i="16" s="1"/>
  <c r="A40" i="16" s="1"/>
  <c r="A41" i="16" s="1"/>
  <c r="A42" i="16" s="1"/>
  <c r="A43" i="16" s="1"/>
  <c r="A44" i="16" s="1"/>
  <c r="A45" i="16" s="1"/>
  <c r="A46" i="16" s="1"/>
  <c r="A47" i="16" s="1"/>
  <c r="A48" i="16" s="1"/>
  <c r="A49" i="16" s="1"/>
  <c r="A50" i="16" s="1"/>
  <c r="A51" i="16" s="1"/>
  <c r="A52" i="16" s="1"/>
  <c r="A53" i="16" s="1"/>
  <c r="A54" i="16" s="1"/>
  <c r="A55" i="16" s="1"/>
  <c r="A56" i="16" s="1"/>
  <c r="B22" i="16"/>
  <c r="P18" i="16"/>
  <c r="M18" i="16"/>
  <c r="E18" i="16"/>
  <c r="P17" i="16"/>
  <c r="M17" i="16"/>
  <c r="E17" i="16"/>
  <c r="P16" i="16"/>
  <c r="M16" i="16"/>
  <c r="E16" i="16"/>
  <c r="P15" i="16"/>
  <c r="M15" i="16"/>
  <c r="E15" i="16"/>
  <c r="P14" i="16"/>
  <c r="M14" i="16"/>
  <c r="P13" i="16"/>
  <c r="M13" i="16"/>
  <c r="P12" i="16"/>
  <c r="M12" i="16"/>
  <c r="P11" i="16"/>
  <c r="M11" i="16"/>
  <c r="P10" i="16"/>
  <c r="M10" i="16"/>
  <c r="P9" i="16"/>
  <c r="M9" i="16"/>
  <c r="A9" i="16"/>
  <c r="A10" i="16" s="1"/>
  <c r="A11" i="16" s="1"/>
  <c r="A12" i="16" s="1"/>
  <c r="C22" i="16" l="1"/>
  <c r="F33" i="16"/>
  <c r="F38" i="16"/>
  <c r="F12" i="16"/>
  <c r="C63" i="16"/>
  <c r="C67" i="16"/>
  <c r="C68" i="16"/>
  <c r="H35" i="16"/>
  <c r="H36" i="16"/>
  <c r="H40" i="16"/>
  <c r="H33" i="16"/>
  <c r="H39" i="16"/>
  <c r="H34" i="16"/>
  <c r="I25" i="13"/>
  <c r="I10" i="13"/>
  <c r="I14" i="13"/>
  <c r="I6" i="13"/>
  <c r="I5" i="13"/>
  <c r="G68" i="16"/>
  <c r="I13" i="13"/>
  <c r="I9" i="13"/>
  <c r="G65" i="16"/>
  <c r="I12" i="13"/>
  <c r="I8" i="13"/>
  <c r="I15" i="13"/>
  <c r="I11" i="13"/>
  <c r="I17" i="13"/>
  <c r="F55" i="16"/>
  <c r="F10" i="16"/>
  <c r="G66" i="16"/>
  <c r="F32" i="16"/>
  <c r="F34" i="16"/>
  <c r="F35" i="16"/>
  <c r="C66" i="16"/>
  <c r="I7" i="13"/>
  <c r="F14" i="16"/>
  <c r="F11" i="16"/>
  <c r="F17" i="16"/>
  <c r="F9" i="16"/>
  <c r="F16" i="16"/>
  <c r="C65" i="16"/>
  <c r="G64" i="16"/>
  <c r="F13" i="16"/>
  <c r="G22" i="16"/>
  <c r="F18" i="16"/>
  <c r="F15" i="16"/>
  <c r="F36" i="16"/>
  <c r="F40" i="16"/>
  <c r="F42" i="16"/>
  <c r="F44" i="16"/>
  <c r="F46" i="16"/>
  <c r="F48" i="16"/>
  <c r="F50" i="16"/>
  <c r="F52" i="16"/>
  <c r="F54" i="16"/>
  <c r="F56" i="16"/>
  <c r="C62" i="16"/>
  <c r="F37" i="16"/>
  <c r="F39" i="16"/>
  <c r="F41" i="16"/>
  <c r="F43" i="16"/>
  <c r="F45" i="16"/>
  <c r="F47" i="16"/>
  <c r="F49" i="16"/>
  <c r="F51" i="16"/>
  <c r="F53" i="16"/>
  <c r="C64" i="16"/>
  <c r="H47" i="1"/>
  <c r="D40" i="46" s="1"/>
  <c r="H48" i="1"/>
  <c r="D41" i="46" s="1"/>
  <c r="H49" i="1"/>
  <c r="D42" i="46" s="1"/>
  <c r="H50" i="1"/>
  <c r="D43" i="46" s="1"/>
  <c r="H51" i="1"/>
  <c r="D44" i="46" s="1"/>
  <c r="H46" i="1"/>
  <c r="D39" i="46" s="1"/>
  <c r="M47" i="1"/>
  <c r="M48" i="1"/>
  <c r="M49" i="1"/>
  <c r="M50" i="1"/>
  <c r="M51" i="1"/>
  <c r="M46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9" i="1"/>
  <c r="H10" i="1"/>
  <c r="D10" i="46" s="1"/>
  <c r="H11" i="1"/>
  <c r="D11" i="46" s="1"/>
  <c r="H12" i="1"/>
  <c r="D12" i="46" s="1"/>
  <c r="H13" i="1"/>
  <c r="D13" i="46" s="1"/>
  <c r="H14" i="1"/>
  <c r="D14" i="46" s="1"/>
  <c r="H15" i="1"/>
  <c r="D15" i="46" s="1"/>
  <c r="H16" i="1"/>
  <c r="D16" i="46" s="1"/>
  <c r="H17" i="1"/>
  <c r="D17" i="46" s="1"/>
  <c r="H18" i="1"/>
  <c r="H19" i="1"/>
  <c r="D19" i="46" s="1"/>
  <c r="H20" i="1"/>
  <c r="D20" i="46" s="1"/>
  <c r="H21" i="1"/>
  <c r="D21" i="46" s="1"/>
  <c r="H22" i="1"/>
  <c r="D22" i="46" s="1"/>
  <c r="H24" i="1"/>
  <c r="D24" i="46" s="1"/>
  <c r="H25" i="1"/>
  <c r="D25" i="46" s="1"/>
  <c r="H26" i="1"/>
  <c r="D26" i="46" s="1"/>
  <c r="H27" i="1"/>
  <c r="H28" i="1"/>
  <c r="D28" i="46" s="1"/>
  <c r="H29" i="1"/>
  <c r="D29" i="46" s="1"/>
  <c r="H30" i="1"/>
  <c r="D30" i="46" s="1"/>
  <c r="H31" i="1"/>
  <c r="D31" i="46" s="1"/>
  <c r="H32" i="1"/>
  <c r="D32" i="46" s="1"/>
  <c r="H9" i="1"/>
  <c r="D9" i="46" s="1"/>
  <c r="G27" i="1" l="1"/>
  <c r="C27" i="46" s="1"/>
  <c r="D27" i="46"/>
  <c r="C9" i="1"/>
  <c r="Q35" i="2" s="1"/>
  <c r="D18" i="46"/>
  <c r="G28" i="1"/>
  <c r="C28" i="46" s="1"/>
  <c r="L28" i="1"/>
  <c r="N28" i="1" s="1"/>
  <c r="L27" i="1"/>
  <c r="N27" i="1" s="1"/>
  <c r="W34" i="1"/>
  <c r="W33" i="1"/>
  <c r="W40" i="1"/>
  <c r="W39" i="1"/>
  <c r="Q11" i="23"/>
  <c r="F64" i="16"/>
  <c r="F65" i="16"/>
  <c r="F68" i="16"/>
  <c r="F63" i="16"/>
  <c r="W27" i="1"/>
  <c r="W15" i="1"/>
  <c r="W9" i="1"/>
  <c r="S46" i="1"/>
  <c r="H42" i="2"/>
  <c r="I42" i="2"/>
  <c r="H43" i="2"/>
  <c r="I43" i="2"/>
  <c r="H44" i="2"/>
  <c r="I44" i="2"/>
  <c r="H45" i="2"/>
  <c r="I45" i="2"/>
  <c r="H46" i="2"/>
  <c r="I46" i="2"/>
  <c r="H47" i="2"/>
  <c r="I47" i="2"/>
  <c r="H48" i="2"/>
  <c r="I48" i="2"/>
  <c r="H49" i="2"/>
  <c r="I49" i="2"/>
  <c r="H50" i="2"/>
  <c r="I50" i="2"/>
  <c r="H51" i="2"/>
  <c r="I51" i="2"/>
  <c r="H52" i="2"/>
  <c r="I52" i="2"/>
  <c r="H53" i="2"/>
  <c r="I53" i="2"/>
  <c r="H54" i="2"/>
  <c r="I54" i="2"/>
  <c r="H55" i="2"/>
  <c r="I55" i="2"/>
  <c r="H56" i="2"/>
  <c r="I56" i="2"/>
  <c r="I41" i="2"/>
  <c r="H41" i="2"/>
  <c r="I27" i="1" l="1"/>
  <c r="E27" i="46" s="1"/>
  <c r="I28" i="1"/>
  <c r="E28" i="46" s="1"/>
  <c r="J28" i="1"/>
  <c r="F28" i="46" s="1"/>
  <c r="O28" i="1"/>
  <c r="J27" i="1"/>
  <c r="F27" i="46" s="1"/>
  <c r="O27" i="1"/>
  <c r="W41" i="1"/>
  <c r="W35" i="1"/>
  <c r="F66" i="2"/>
  <c r="Q6" i="23"/>
  <c r="Q14" i="23"/>
  <c r="Q13" i="23"/>
  <c r="Q10" i="23"/>
  <c r="Q9" i="23"/>
  <c r="Q12" i="23"/>
  <c r="Q15" i="23"/>
  <c r="Q8" i="23"/>
  <c r="D41" i="2"/>
  <c r="E41" i="2"/>
  <c r="D42" i="2"/>
  <c r="E42" i="2"/>
  <c r="D43" i="2"/>
  <c r="E43" i="2"/>
  <c r="D44" i="2"/>
  <c r="E44" i="2"/>
  <c r="D45" i="2"/>
  <c r="E45" i="2"/>
  <c r="D46" i="2"/>
  <c r="E46" i="2"/>
  <c r="D47" i="2"/>
  <c r="E47" i="2"/>
  <c r="D48" i="2"/>
  <c r="E48" i="2"/>
  <c r="D49" i="2"/>
  <c r="E49" i="2"/>
  <c r="D50" i="2"/>
  <c r="E50" i="2"/>
  <c r="D51" i="2"/>
  <c r="E51" i="2"/>
  <c r="D52" i="2"/>
  <c r="E52" i="2"/>
  <c r="D53" i="2"/>
  <c r="E53" i="2"/>
  <c r="D54" i="2"/>
  <c r="E54" i="2"/>
  <c r="D55" i="2"/>
  <c r="E55" i="2"/>
  <c r="D56" i="2"/>
  <c r="E56" i="2"/>
  <c r="L10" i="2"/>
  <c r="AA10" i="2" s="1"/>
  <c r="L11" i="2"/>
  <c r="L12" i="2"/>
  <c r="L13" i="2"/>
  <c r="L14" i="2"/>
  <c r="L15" i="2"/>
  <c r="L16" i="2"/>
  <c r="L17" i="2"/>
  <c r="L18" i="2"/>
  <c r="L9" i="2"/>
  <c r="K10" i="2"/>
  <c r="K11" i="2"/>
  <c r="K12" i="2"/>
  <c r="K13" i="2"/>
  <c r="K14" i="2"/>
  <c r="K15" i="2"/>
  <c r="K16" i="2"/>
  <c r="K17" i="2"/>
  <c r="K9" i="2"/>
  <c r="L33" i="2"/>
  <c r="L34" i="2"/>
  <c r="L35" i="2"/>
  <c r="L36" i="2"/>
  <c r="L37" i="2"/>
  <c r="L38" i="2"/>
  <c r="L39" i="2"/>
  <c r="AA39" i="2" s="1"/>
  <c r="L40" i="2"/>
  <c r="AA40" i="2" s="1"/>
  <c r="L41" i="2"/>
  <c r="L42" i="2"/>
  <c r="L43" i="2"/>
  <c r="L44" i="2"/>
  <c r="L45" i="2"/>
  <c r="L46" i="2"/>
  <c r="L47" i="2"/>
  <c r="L48" i="2"/>
  <c r="L49" i="2"/>
  <c r="L50" i="2"/>
  <c r="L51" i="2"/>
  <c r="L52" i="2"/>
  <c r="L53" i="2"/>
  <c r="L54" i="2"/>
  <c r="L55" i="2"/>
  <c r="L56" i="2"/>
  <c r="L32" i="2"/>
  <c r="K33" i="2"/>
  <c r="K35" i="2"/>
  <c r="I16" i="38" s="1"/>
  <c r="K36" i="2"/>
  <c r="K38" i="2"/>
  <c r="K39" i="2"/>
  <c r="K40" i="2"/>
  <c r="K41" i="2"/>
  <c r="K42" i="2"/>
  <c r="K43" i="2"/>
  <c r="K44" i="2"/>
  <c r="K45" i="2"/>
  <c r="K46" i="2"/>
  <c r="K47" i="2"/>
  <c r="K48" i="2"/>
  <c r="K49" i="2"/>
  <c r="K50" i="2"/>
  <c r="K51" i="2"/>
  <c r="K52" i="2"/>
  <c r="K53" i="2"/>
  <c r="K54" i="2"/>
  <c r="K55" i="2"/>
  <c r="K56" i="2"/>
  <c r="K32" i="2"/>
  <c r="E33" i="2"/>
  <c r="D34" i="2"/>
  <c r="E34" i="2"/>
  <c r="D35" i="2"/>
  <c r="E35" i="2"/>
  <c r="D36" i="2"/>
  <c r="D33" i="2" s="1"/>
  <c r="E36" i="2"/>
  <c r="D37" i="2"/>
  <c r="E37" i="2"/>
  <c r="D38" i="2"/>
  <c r="E38" i="2"/>
  <c r="D39" i="2"/>
  <c r="D40" i="2"/>
  <c r="E32" i="2"/>
  <c r="D32" i="2"/>
  <c r="E10" i="2"/>
  <c r="D11" i="2"/>
  <c r="E11" i="2"/>
  <c r="D12" i="2"/>
  <c r="E12" i="2"/>
  <c r="D13" i="2"/>
  <c r="D14" i="2"/>
  <c r="D15" i="2"/>
  <c r="E15" i="2"/>
  <c r="D16" i="2"/>
  <c r="E16" i="2"/>
  <c r="D17" i="2"/>
  <c r="E17" i="2"/>
  <c r="D18" i="2"/>
  <c r="E9" i="2"/>
  <c r="D9" i="2"/>
  <c r="AA34" i="2" l="1"/>
  <c r="AA33" i="2"/>
  <c r="AA35" i="2"/>
  <c r="AA11" i="2"/>
  <c r="AA32" i="2"/>
  <c r="AA49" i="2"/>
  <c r="AA37" i="2"/>
  <c r="AA56" i="2"/>
  <c r="AA52" i="2"/>
  <c r="AA48" i="2"/>
  <c r="AA44" i="2"/>
  <c r="AA36" i="2"/>
  <c r="AA50" i="2"/>
  <c r="AA53" i="2"/>
  <c r="AA55" i="2"/>
  <c r="AA51" i="2"/>
  <c r="AA47" i="2"/>
  <c r="AA43" i="2"/>
  <c r="AA54" i="2"/>
  <c r="AA46" i="2"/>
  <c r="AA42" i="2"/>
  <c r="AA14" i="2"/>
  <c r="AA17" i="2"/>
  <c r="AA13" i="2"/>
  <c r="AA16" i="2"/>
  <c r="AA18" i="2"/>
  <c r="AA15" i="2"/>
  <c r="X14" i="2"/>
  <c r="X13" i="2"/>
  <c r="D17" i="38"/>
  <c r="I17" i="38" s="1"/>
  <c r="D18" i="38"/>
  <c r="I18" i="38" s="1"/>
  <c r="I8" i="38"/>
  <c r="F36" i="2"/>
  <c r="F39" i="2"/>
  <c r="F32" i="2"/>
  <c r="F40" i="2"/>
  <c r="G40" i="2" s="1"/>
  <c r="P13" i="2"/>
  <c r="P14" i="2"/>
  <c r="Q7" i="23"/>
  <c r="T14" i="2" l="1"/>
  <c r="AI14" i="2" s="1"/>
  <c r="T13" i="2"/>
  <c r="AI13" i="2" s="1"/>
  <c r="Y13" i="2"/>
  <c r="Y14" i="2"/>
  <c r="AB14" i="2" s="1"/>
  <c r="I20" i="38"/>
  <c r="I6" i="38" s="1"/>
  <c r="I10" i="38" s="1"/>
  <c r="C17" i="1"/>
  <c r="AB13" i="2" l="1"/>
  <c r="I2" i="38"/>
  <c r="C16" i="1"/>
  <c r="C15" i="1"/>
  <c r="H24" i="16" l="1"/>
  <c r="D33" i="16" s="1"/>
  <c r="C3" i="16"/>
  <c r="Q41" i="1"/>
  <c r="E12" i="23"/>
  <c r="D11" i="34" s="1"/>
  <c r="E10" i="23"/>
  <c r="E9" i="23"/>
  <c r="E13" i="23"/>
  <c r="D13" i="34"/>
  <c r="K7" i="23"/>
  <c r="O7" i="23" s="1"/>
  <c r="C2" i="16"/>
  <c r="D12" i="16" l="1"/>
  <c r="G12" i="16" s="1"/>
  <c r="D11" i="16"/>
  <c r="D8" i="34"/>
  <c r="E14" i="23"/>
  <c r="D9" i="34"/>
  <c r="H25" i="16"/>
  <c r="D9" i="16" s="1"/>
  <c r="D38" i="16"/>
  <c r="G38" i="16" s="1"/>
  <c r="E11" i="23"/>
  <c r="D12" i="34"/>
  <c r="I6" i="34"/>
  <c r="K8" i="23"/>
  <c r="D34" i="16"/>
  <c r="G34" i="16" s="1"/>
  <c r="D37" i="16"/>
  <c r="G37" i="16" s="1"/>
  <c r="D15" i="16"/>
  <c r="G15" i="16" s="1"/>
  <c r="D36" i="16"/>
  <c r="G36" i="16" s="1"/>
  <c r="D13" i="16"/>
  <c r="G13" i="16" s="1"/>
  <c r="D14" i="16"/>
  <c r="G14" i="16" s="1"/>
  <c r="D47" i="16"/>
  <c r="G47" i="16" s="1"/>
  <c r="D45" i="16"/>
  <c r="G45" i="16" s="1"/>
  <c r="D44" i="16"/>
  <c r="G44" i="16" s="1"/>
  <c r="D46" i="16"/>
  <c r="G46" i="16" s="1"/>
  <c r="D41" i="16"/>
  <c r="G41" i="16" s="1"/>
  <c r="D40" i="16"/>
  <c r="G40" i="16" s="1"/>
  <c r="D39" i="16"/>
  <c r="G39" i="16" s="1"/>
  <c r="D42" i="16"/>
  <c r="G42" i="16" s="1"/>
  <c r="D43" i="16"/>
  <c r="G43" i="16" s="1"/>
  <c r="D17" i="16"/>
  <c r="G17" i="16" s="1"/>
  <c r="D18" i="16"/>
  <c r="G18" i="16" s="1"/>
  <c r="K15" i="23"/>
  <c r="K9" i="23"/>
  <c r="I8" i="34" s="1"/>
  <c r="K12" i="23"/>
  <c r="I11" i="34" s="1"/>
  <c r="K13" i="23"/>
  <c r="K10" i="23"/>
  <c r="I9" i="34" s="1"/>
  <c r="K9" i="34" s="1"/>
  <c r="E19" i="11"/>
  <c r="H23" i="1" s="1"/>
  <c r="D23" i="46" s="1"/>
  <c r="I13" i="34" l="1"/>
  <c r="O15" i="23"/>
  <c r="O10" i="23"/>
  <c r="T10" i="23" s="1"/>
  <c r="E17" i="23"/>
  <c r="E18" i="23" s="1"/>
  <c r="F34" i="23" s="1"/>
  <c r="O9" i="23"/>
  <c r="T9" i="23" s="1"/>
  <c r="O13" i="23"/>
  <c r="T13" i="23" s="1"/>
  <c r="K8" i="34"/>
  <c r="D12" i="35" s="1"/>
  <c r="I12" i="34"/>
  <c r="K12" i="34" s="1"/>
  <c r="K14" i="23"/>
  <c r="O14" i="23" s="1"/>
  <c r="D10" i="34"/>
  <c r="D14" i="34" s="1"/>
  <c r="D22" i="35" s="1"/>
  <c r="G9" i="16"/>
  <c r="D13" i="35"/>
  <c r="I7" i="34"/>
  <c r="I5" i="34"/>
  <c r="K6" i="23" s="1"/>
  <c r="D49" i="16"/>
  <c r="G49" i="16" s="1"/>
  <c r="D55" i="16"/>
  <c r="G55" i="16" s="1"/>
  <c r="D35" i="16"/>
  <c r="G35" i="16" s="1"/>
  <c r="D16" i="16"/>
  <c r="G16" i="16" s="1"/>
  <c r="D50" i="16"/>
  <c r="G50" i="16" s="1"/>
  <c r="D32" i="16"/>
  <c r="D54" i="16"/>
  <c r="G54" i="16" s="1"/>
  <c r="D51" i="16"/>
  <c r="G51" i="16" s="1"/>
  <c r="D56" i="16"/>
  <c r="G56" i="16" s="1"/>
  <c r="D52" i="16"/>
  <c r="G52" i="16" s="1"/>
  <c r="D10" i="16"/>
  <c r="G10" i="16" s="1"/>
  <c r="D53" i="16"/>
  <c r="G53" i="16" s="1"/>
  <c r="D48" i="16"/>
  <c r="G48" i="16" s="1"/>
  <c r="G32" i="16"/>
  <c r="G33" i="16"/>
  <c r="G11" i="16"/>
  <c r="N13" i="23"/>
  <c r="S13" i="23" s="1"/>
  <c r="N10" i="23"/>
  <c r="S10" i="23" s="1"/>
  <c r="N9" i="23"/>
  <c r="S9" i="23" s="1"/>
  <c r="K11" i="23"/>
  <c r="I10" i="34" s="1"/>
  <c r="S51" i="1"/>
  <c r="S47" i="1"/>
  <c r="S48" i="1"/>
  <c r="W10" i="1" s="1"/>
  <c r="W11" i="1" s="1"/>
  <c r="S50" i="1"/>
  <c r="S49" i="1"/>
  <c r="T14" i="23" l="1"/>
  <c r="O11" i="23"/>
  <c r="T11" i="23" s="1"/>
  <c r="K17" i="23"/>
  <c r="K18" i="23" s="1"/>
  <c r="O6" i="23"/>
  <c r="T6" i="23" s="1"/>
  <c r="K10" i="34"/>
  <c r="D14" i="35" s="1"/>
  <c r="N6" i="23"/>
  <c r="S6" i="23" s="1"/>
  <c r="C24" i="16"/>
  <c r="C25" i="16" s="1"/>
  <c r="D62" i="16"/>
  <c r="E62" i="16" s="1"/>
  <c r="J32" i="16" s="1"/>
  <c r="D64" i="16"/>
  <c r="E64" i="16" s="1"/>
  <c r="J34" i="16" s="1"/>
  <c r="D22" i="16"/>
  <c r="E22" i="16" s="1"/>
  <c r="D16" i="35"/>
  <c r="I14" i="34"/>
  <c r="K5" i="34"/>
  <c r="D67" i="16"/>
  <c r="E67" i="16" s="1"/>
  <c r="J54" i="16" s="1"/>
  <c r="D63" i="16"/>
  <c r="E63" i="16" s="1"/>
  <c r="J35" i="16" s="1"/>
  <c r="D65" i="16"/>
  <c r="E65" i="16" s="1"/>
  <c r="J36" i="16" s="1"/>
  <c r="D66" i="16"/>
  <c r="E66" i="16" s="1"/>
  <c r="J46" i="16" s="1"/>
  <c r="D68" i="16"/>
  <c r="E68" i="16" s="1"/>
  <c r="J39" i="16" s="1"/>
  <c r="W22" i="1"/>
  <c r="N14" i="23"/>
  <c r="S14" i="23" s="1"/>
  <c r="N11" i="23"/>
  <c r="S11" i="23" s="1"/>
  <c r="H33" i="2"/>
  <c r="I33" i="2"/>
  <c r="H34" i="2"/>
  <c r="I34" i="2"/>
  <c r="H35" i="2"/>
  <c r="F63" i="2" s="1"/>
  <c r="I35" i="2"/>
  <c r="H36" i="2"/>
  <c r="I36" i="2"/>
  <c r="H37" i="2"/>
  <c r="I37" i="2"/>
  <c r="H38" i="2"/>
  <c r="I38" i="2"/>
  <c r="H39" i="2"/>
  <c r="I39" i="2"/>
  <c r="H40" i="2"/>
  <c r="I40" i="2"/>
  <c r="I32" i="2"/>
  <c r="H32" i="2"/>
  <c r="F62" i="2" s="1"/>
  <c r="I9" i="2"/>
  <c r="I10" i="2"/>
  <c r="I11" i="2"/>
  <c r="I12" i="2"/>
  <c r="I13" i="2"/>
  <c r="I14" i="2"/>
  <c r="I15" i="2"/>
  <c r="I16" i="2"/>
  <c r="I17" i="2"/>
  <c r="I18" i="2"/>
  <c r="H10" i="2"/>
  <c r="H11" i="2"/>
  <c r="H12" i="2"/>
  <c r="H15" i="2"/>
  <c r="H16" i="2"/>
  <c r="H17" i="2"/>
  <c r="H18" i="2"/>
  <c r="F16" i="2" s="1"/>
  <c r="G16" i="2" s="1"/>
  <c r="H9" i="2"/>
  <c r="F17" i="2"/>
  <c r="G17" i="2" s="1"/>
  <c r="B22" i="2"/>
  <c r="F18" i="2" l="1"/>
  <c r="G18" i="2" s="1"/>
  <c r="F10" i="2"/>
  <c r="G10" i="2" s="1"/>
  <c r="F11" i="2"/>
  <c r="C22" i="2"/>
  <c r="F9" i="2"/>
  <c r="F15" i="2"/>
  <c r="G15" i="2" s="1"/>
  <c r="F13" i="2"/>
  <c r="G13" i="2" s="1"/>
  <c r="F14" i="2"/>
  <c r="G14" i="2" s="1"/>
  <c r="J17" i="16"/>
  <c r="J16" i="16"/>
  <c r="J10" i="16"/>
  <c r="J14" i="16"/>
  <c r="J9" i="16"/>
  <c r="J18" i="16"/>
  <c r="J56" i="16"/>
  <c r="J38" i="16"/>
  <c r="J53" i="16"/>
  <c r="J55" i="16"/>
  <c r="D27" i="35"/>
  <c r="D9" i="35"/>
  <c r="J33" i="16"/>
  <c r="J37" i="16"/>
  <c r="J43" i="16"/>
  <c r="J52" i="16"/>
  <c r="J13" i="16"/>
  <c r="J12" i="16"/>
  <c r="J15" i="16"/>
  <c r="J11" i="16"/>
  <c r="J41" i="16"/>
  <c r="J40" i="16"/>
  <c r="J51" i="16"/>
  <c r="J49" i="16"/>
  <c r="J42" i="16"/>
  <c r="J44" i="16"/>
  <c r="J48" i="16"/>
  <c r="J50" i="16"/>
  <c r="J47" i="16"/>
  <c r="J45" i="16"/>
  <c r="C71" i="16"/>
  <c r="C72" i="16" s="1"/>
  <c r="C70" i="16"/>
  <c r="F22" i="2"/>
  <c r="G22" i="2"/>
  <c r="S9" i="1"/>
  <c r="S29" i="1"/>
  <c r="S25" i="1"/>
  <c r="S21" i="1"/>
  <c r="S17" i="1"/>
  <c r="S13" i="1"/>
  <c r="S32" i="1"/>
  <c r="S28" i="1"/>
  <c r="S24" i="1"/>
  <c r="S20" i="1"/>
  <c r="S16" i="1"/>
  <c r="W16" i="1" s="1"/>
  <c r="W17" i="1" s="1"/>
  <c r="S12" i="1"/>
  <c r="S31" i="1"/>
  <c r="S27" i="1"/>
  <c r="S23" i="1"/>
  <c r="S19" i="1"/>
  <c r="S15" i="1"/>
  <c r="W28" i="1" s="1"/>
  <c r="W29" i="1" s="1"/>
  <c r="S11" i="1"/>
  <c r="S30" i="1"/>
  <c r="S26" i="1"/>
  <c r="S22" i="1"/>
  <c r="S18" i="1"/>
  <c r="S14" i="1"/>
  <c r="S10" i="1"/>
  <c r="C63" i="2"/>
  <c r="D63" i="2" s="1"/>
  <c r="E63" i="2" s="1"/>
  <c r="C65" i="2"/>
  <c r="D65" i="2" s="1"/>
  <c r="E65" i="2" s="1"/>
  <c r="C66" i="2"/>
  <c r="D66" i="2" s="1"/>
  <c r="E66" i="2" s="1"/>
  <c r="C67" i="2"/>
  <c r="D67" i="2" s="1"/>
  <c r="E67" i="2" s="1"/>
  <c r="C68" i="2"/>
  <c r="D68" i="2" s="1"/>
  <c r="E68" i="2" s="1"/>
  <c r="C62" i="2"/>
  <c r="D62" i="2" l="1"/>
  <c r="E62" i="2" s="1"/>
  <c r="L33" i="16"/>
  <c r="L37" i="16"/>
  <c r="O37" i="16" s="1"/>
  <c r="L41" i="16"/>
  <c r="O41" i="16" s="1"/>
  <c r="L45" i="16"/>
  <c r="O45" i="16" s="1"/>
  <c r="L49" i="16"/>
  <c r="O49" i="16" s="1"/>
  <c r="L53" i="16"/>
  <c r="O53" i="16" s="1"/>
  <c r="L32" i="16"/>
  <c r="L39" i="16"/>
  <c r="O39" i="16" s="1"/>
  <c r="L47" i="16"/>
  <c r="L55" i="16"/>
  <c r="L36" i="16"/>
  <c r="L40" i="16"/>
  <c r="L44" i="16"/>
  <c r="L56" i="16"/>
  <c r="L34" i="16"/>
  <c r="L38" i="16"/>
  <c r="L42" i="16"/>
  <c r="L46" i="16"/>
  <c r="L50" i="16"/>
  <c r="O50" i="16" s="1"/>
  <c r="L54" i="16"/>
  <c r="O54" i="16" s="1"/>
  <c r="L35" i="16"/>
  <c r="O35" i="16" s="1"/>
  <c r="L43" i="16"/>
  <c r="O43" i="16" s="1"/>
  <c r="L51" i="16"/>
  <c r="L48" i="16"/>
  <c r="L52" i="16"/>
  <c r="W21" i="1"/>
  <c r="W23" i="1" s="1"/>
  <c r="G63" i="2"/>
  <c r="G62" i="2"/>
  <c r="F33" i="2"/>
  <c r="G33" i="2" s="1"/>
  <c r="F34" i="2"/>
  <c r="G34" i="2" s="1"/>
  <c r="F35" i="2"/>
  <c r="G35" i="2" s="1"/>
  <c r="G36" i="2"/>
  <c r="F37" i="2"/>
  <c r="G37" i="2" s="1"/>
  <c r="F38" i="2"/>
  <c r="G38" i="2" s="1"/>
  <c r="G39" i="2"/>
  <c r="F41" i="2"/>
  <c r="G41" i="2" s="1"/>
  <c r="F42" i="2"/>
  <c r="F43" i="2"/>
  <c r="G43" i="2" s="1"/>
  <c r="F44" i="2"/>
  <c r="F45" i="2"/>
  <c r="F46" i="2"/>
  <c r="F47" i="2"/>
  <c r="F48" i="2"/>
  <c r="F49" i="2"/>
  <c r="F50" i="2"/>
  <c r="F51" i="2"/>
  <c r="F52" i="2"/>
  <c r="F53" i="2"/>
  <c r="F54" i="2"/>
  <c r="F55" i="2"/>
  <c r="F56" i="2"/>
  <c r="G32" i="2"/>
  <c r="B64" i="2"/>
  <c r="A62" i="2"/>
  <c r="C61" i="2"/>
  <c r="G45" i="2"/>
  <c r="A32" i="2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F12" i="2"/>
  <c r="G9" i="2"/>
  <c r="A9" i="2"/>
  <c r="A10" i="2" s="1"/>
  <c r="A11" i="2" s="1"/>
  <c r="A12" i="2" s="1"/>
  <c r="O38" i="16" l="1"/>
  <c r="O56" i="16"/>
  <c r="O55" i="16"/>
  <c r="O52" i="16"/>
  <c r="O40" i="16"/>
  <c r="O44" i="16"/>
  <c r="O33" i="16"/>
  <c r="O34" i="16"/>
  <c r="O51" i="16"/>
  <c r="O47" i="16"/>
  <c r="O32" i="16"/>
  <c r="O48" i="16"/>
  <c r="O46" i="16"/>
  <c r="O36" i="16"/>
  <c r="O42" i="16"/>
  <c r="C64" i="2"/>
  <c r="D64" i="2" s="1"/>
  <c r="E64" i="2" s="1"/>
  <c r="J33" i="2" s="1"/>
  <c r="G64" i="2"/>
  <c r="F64" i="2"/>
  <c r="F68" i="2"/>
  <c r="G68" i="2"/>
  <c r="D22" i="2"/>
  <c r="E22" i="2" s="1"/>
  <c r="G66" i="2"/>
  <c r="G67" i="2"/>
  <c r="F67" i="2"/>
  <c r="F65" i="2"/>
  <c r="G65" i="2"/>
  <c r="J38" i="2"/>
  <c r="J36" i="2"/>
  <c r="J35" i="2"/>
  <c r="J32" i="2"/>
  <c r="G53" i="2"/>
  <c r="G49" i="2"/>
  <c r="G54" i="2"/>
  <c r="G50" i="2"/>
  <c r="G46" i="2"/>
  <c r="G44" i="2"/>
  <c r="G55" i="2"/>
  <c r="G51" i="2"/>
  <c r="G47" i="2"/>
  <c r="G56" i="2"/>
  <c r="G52" i="2"/>
  <c r="G48" i="2"/>
  <c r="G42" i="2"/>
  <c r="G11" i="2"/>
  <c r="G12" i="2"/>
  <c r="C24" i="2" l="1"/>
  <c r="J14" i="2"/>
  <c r="J17" i="2"/>
  <c r="J15" i="2"/>
  <c r="J18" i="2"/>
  <c r="J12" i="2"/>
  <c r="J13" i="2"/>
  <c r="J9" i="2"/>
  <c r="J10" i="2"/>
  <c r="J16" i="2"/>
  <c r="J11" i="2"/>
  <c r="J37" i="2"/>
  <c r="J34" i="2"/>
  <c r="J41" i="2"/>
  <c r="J45" i="2"/>
  <c r="J49" i="2"/>
  <c r="J42" i="2"/>
  <c r="J46" i="2"/>
  <c r="J50" i="2"/>
  <c r="J43" i="2"/>
  <c r="J47" i="2"/>
  <c r="J51" i="2"/>
  <c r="J44" i="2"/>
  <c r="J48" i="2"/>
  <c r="J52" i="2"/>
  <c r="J39" i="2"/>
  <c r="J40" i="2"/>
  <c r="J53" i="2"/>
  <c r="J54" i="2"/>
  <c r="J55" i="2"/>
  <c r="J56" i="2"/>
  <c r="C26" i="16" l="1"/>
  <c r="Q27" i="1"/>
  <c r="R27" i="1" s="1"/>
  <c r="T27" i="1" s="1"/>
  <c r="C70" i="2"/>
  <c r="L9" i="16" l="1"/>
  <c r="L14" i="16"/>
  <c r="L13" i="16"/>
  <c r="L17" i="16"/>
  <c r="L10" i="16"/>
  <c r="L18" i="16"/>
  <c r="L11" i="16"/>
  <c r="L15" i="16"/>
  <c r="O9" i="16"/>
  <c r="L12" i="16"/>
  <c r="O12" i="16" s="1"/>
  <c r="L16" i="16"/>
  <c r="Q28" i="1"/>
  <c r="R28" i="1" s="1"/>
  <c r="T28" i="1" l="1"/>
  <c r="O13" i="16"/>
  <c r="O14" i="16"/>
  <c r="O17" i="16"/>
  <c r="O16" i="16"/>
  <c r="O15" i="16"/>
  <c r="O10" i="16"/>
  <c r="O11" i="16"/>
  <c r="O18" i="16"/>
  <c r="C27" i="16" s="1"/>
  <c r="C73" i="16" l="1"/>
  <c r="R43" i="16" s="1"/>
  <c r="U43" i="16" s="1"/>
  <c r="Q13" i="16"/>
  <c r="Q12" i="16"/>
  <c r="R53" i="16" l="1"/>
  <c r="R58" i="16" s="1"/>
  <c r="R48" i="16"/>
  <c r="U48" i="16" s="1"/>
  <c r="R54" i="16"/>
  <c r="U54" i="16" s="1"/>
  <c r="Q56" i="16"/>
  <c r="T56" i="16" s="1"/>
  <c r="Q55" i="16"/>
  <c r="T55" i="16" s="1"/>
  <c r="R32" i="16"/>
  <c r="U32" i="16" s="1"/>
  <c r="R38" i="16"/>
  <c r="U38" i="16" s="1"/>
  <c r="R46" i="16"/>
  <c r="U46" i="16" s="1"/>
  <c r="Q51" i="16"/>
  <c r="T51" i="16" s="1"/>
  <c r="R45" i="16"/>
  <c r="U45" i="16" s="1"/>
  <c r="Q38" i="16"/>
  <c r="T38" i="16" s="1"/>
  <c r="R36" i="16"/>
  <c r="U36" i="16" s="1"/>
  <c r="R35" i="16"/>
  <c r="U35" i="16" s="1"/>
  <c r="Q48" i="16"/>
  <c r="T48" i="16" s="1"/>
  <c r="Q34" i="16"/>
  <c r="T34" i="16" s="1"/>
  <c r="Q41" i="16"/>
  <c r="T41" i="16" s="1"/>
  <c r="R55" i="16"/>
  <c r="U55" i="16" s="1"/>
  <c r="Q35" i="16"/>
  <c r="T35" i="16" s="1"/>
  <c r="Q37" i="16"/>
  <c r="T37" i="16" s="1"/>
  <c r="R44" i="16"/>
  <c r="U44" i="16" s="1"/>
  <c r="Q49" i="16"/>
  <c r="T49" i="16" s="1"/>
  <c r="Q53" i="16"/>
  <c r="Q58" i="16" s="1"/>
  <c r="R56" i="16"/>
  <c r="U56" i="16" s="1"/>
  <c r="R42" i="16"/>
  <c r="U42" i="16" s="1"/>
  <c r="Q45" i="16"/>
  <c r="T45" i="16" s="1"/>
  <c r="Q40" i="16"/>
  <c r="T40" i="16" s="1"/>
  <c r="R49" i="16"/>
  <c r="U49" i="16" s="1"/>
  <c r="Q44" i="16"/>
  <c r="T44" i="16" s="1"/>
  <c r="R34" i="16"/>
  <c r="U34" i="16" s="1"/>
  <c r="Q54" i="16"/>
  <c r="T54" i="16" s="1"/>
  <c r="Q52" i="16"/>
  <c r="T52" i="16" s="1"/>
  <c r="Q33" i="16"/>
  <c r="T33" i="16" s="1"/>
  <c r="Q46" i="16"/>
  <c r="T46" i="16" s="1"/>
  <c r="R41" i="16"/>
  <c r="U41" i="16" s="1"/>
  <c r="R40" i="16"/>
  <c r="U40" i="16" s="1"/>
  <c r="R47" i="16"/>
  <c r="U47" i="16" s="1"/>
  <c r="R52" i="16"/>
  <c r="U52" i="16" s="1"/>
  <c r="Q47" i="16"/>
  <c r="T47" i="16" s="1"/>
  <c r="R50" i="16"/>
  <c r="U50" i="16" s="1"/>
  <c r="Q43" i="16"/>
  <c r="T43" i="16" s="1"/>
  <c r="R51" i="16"/>
  <c r="U51" i="16" s="1"/>
  <c r="Q32" i="16"/>
  <c r="R33" i="16"/>
  <c r="U33" i="16" s="1"/>
  <c r="Q50" i="16"/>
  <c r="T50" i="16" s="1"/>
  <c r="Q39" i="16"/>
  <c r="T39" i="16" s="1"/>
  <c r="R39" i="16"/>
  <c r="U39" i="16" s="1"/>
  <c r="Q36" i="16"/>
  <c r="T36" i="16" s="1"/>
  <c r="Q42" i="16"/>
  <c r="T42" i="16" s="1"/>
  <c r="R37" i="16"/>
  <c r="U37" i="16" s="1"/>
  <c r="T32" i="16"/>
  <c r="T53" i="16"/>
  <c r="U53" i="16"/>
  <c r="R18" i="16"/>
  <c r="U18" i="16" s="1"/>
  <c r="R9" i="16"/>
  <c r="U9" i="16" s="1"/>
  <c r="R16" i="16"/>
  <c r="U16" i="16" s="1"/>
  <c r="R12" i="16"/>
  <c r="U12" i="16" s="1"/>
  <c r="R10" i="16"/>
  <c r="U10" i="16" s="1"/>
  <c r="R11" i="16"/>
  <c r="U11" i="16" s="1"/>
  <c r="Q10" i="16"/>
  <c r="T10" i="16" s="1"/>
  <c r="T12" i="16"/>
  <c r="T13" i="16"/>
  <c r="Q9" i="16"/>
  <c r="Q14" i="16"/>
  <c r="T14" i="16" s="1"/>
  <c r="Q16" i="16"/>
  <c r="T16" i="16" s="1"/>
  <c r="Q11" i="16"/>
  <c r="T11" i="16" s="1"/>
  <c r="Q18" i="16"/>
  <c r="T18" i="16" s="1"/>
  <c r="Q15" i="16"/>
  <c r="T15" i="16" s="1"/>
  <c r="Q17" i="16"/>
  <c r="T17" i="16" s="1"/>
  <c r="R17" i="16"/>
  <c r="U17" i="16" s="1"/>
  <c r="R13" i="16"/>
  <c r="U13" i="16" s="1"/>
  <c r="R15" i="16"/>
  <c r="U15" i="16" s="1"/>
  <c r="R14" i="16"/>
  <c r="U14" i="16" s="1"/>
  <c r="R57" i="16" l="1"/>
  <c r="Q57" i="16"/>
  <c r="U57" i="16"/>
  <c r="T57" i="16"/>
  <c r="U19" i="16"/>
  <c r="T9" i="16"/>
  <c r="T19" i="16" s="1"/>
  <c r="U23" i="16" l="1"/>
  <c r="N3" i="2" s="1"/>
  <c r="C26" i="2" s="1"/>
  <c r="C3" i="2" l="1"/>
  <c r="C25" i="2" s="1"/>
  <c r="C14" i="1"/>
  <c r="Q4" i="1" l="1"/>
  <c r="C71" i="2"/>
  <c r="C2" i="2"/>
  <c r="C13" i="1"/>
  <c r="D50" i="46" s="1"/>
  <c r="D3" i="35" l="1"/>
  <c r="C27" i="2"/>
  <c r="C72" i="2"/>
  <c r="O13" i="2" l="1"/>
  <c r="O18" i="2"/>
  <c r="O14" i="2"/>
  <c r="C73" i="2"/>
  <c r="O32" i="2" s="1"/>
  <c r="P32" i="2" s="1"/>
  <c r="O17" i="2"/>
  <c r="O9" i="2"/>
  <c r="P9" i="2" s="1"/>
  <c r="Q9" i="2" s="1"/>
  <c r="O12" i="2"/>
  <c r="O10" i="2"/>
  <c r="P10" i="2" s="1"/>
  <c r="T10" i="2" s="1"/>
  <c r="O16" i="2"/>
  <c r="O15" i="2"/>
  <c r="O11" i="2"/>
  <c r="Q10" i="2" l="1"/>
  <c r="O43" i="2"/>
  <c r="S43" i="2" s="1"/>
  <c r="O44" i="2"/>
  <c r="S44" i="2" s="1"/>
  <c r="O41" i="2"/>
  <c r="S41" i="2" s="1"/>
  <c r="O45" i="2"/>
  <c r="P45" i="2" s="1"/>
  <c r="T45" i="2" s="1"/>
  <c r="AI45" i="2" s="1"/>
  <c r="O46" i="2"/>
  <c r="S46" i="2" s="1"/>
  <c r="O55" i="2"/>
  <c r="S55" i="2" s="1"/>
  <c r="O51" i="2"/>
  <c r="P51" i="2" s="1"/>
  <c r="T51" i="2" s="1"/>
  <c r="AI51" i="2" s="1"/>
  <c r="O50" i="2"/>
  <c r="P50" i="2" s="1"/>
  <c r="T50" i="2" s="1"/>
  <c r="AI50" i="2" s="1"/>
  <c r="O40" i="2"/>
  <c r="P40" i="2" s="1"/>
  <c r="Q40" i="2" s="1"/>
  <c r="O37" i="2"/>
  <c r="S37" i="2" s="1"/>
  <c r="O48" i="2"/>
  <c r="P48" i="2" s="1"/>
  <c r="T48" i="2" s="1"/>
  <c r="AI48" i="2" s="1"/>
  <c r="O49" i="2"/>
  <c r="P49" i="2" s="1"/>
  <c r="T49" i="2" s="1"/>
  <c r="AI49" i="2" s="1"/>
  <c r="O53" i="2"/>
  <c r="S53" i="2" s="1"/>
  <c r="O36" i="2"/>
  <c r="S36" i="2" s="1"/>
  <c r="O52" i="2"/>
  <c r="P52" i="2" s="1"/>
  <c r="T52" i="2" s="1"/>
  <c r="AI52" i="2" s="1"/>
  <c r="O33" i="2"/>
  <c r="S33" i="2" s="1"/>
  <c r="O34" i="2"/>
  <c r="P34" i="2" s="1"/>
  <c r="Q34" i="2" s="1"/>
  <c r="O54" i="2"/>
  <c r="S54" i="2" s="1"/>
  <c r="O35" i="2"/>
  <c r="S35" i="2" s="1"/>
  <c r="O56" i="2"/>
  <c r="S56" i="2" s="1"/>
  <c r="O38" i="2"/>
  <c r="S38" i="2" s="1"/>
  <c r="O47" i="2"/>
  <c r="P47" i="2" s="1"/>
  <c r="T47" i="2" s="1"/>
  <c r="AI47" i="2" s="1"/>
  <c r="O42" i="2"/>
  <c r="S42" i="2" s="1"/>
  <c r="O39" i="2"/>
  <c r="P39" i="2" s="1"/>
  <c r="Q39" i="2" s="1"/>
  <c r="I9" i="35"/>
  <c r="J9" i="35" s="1"/>
  <c r="N10" i="35" s="1"/>
  <c r="P15" i="2"/>
  <c r="T15" i="2" s="1"/>
  <c r="S15" i="2"/>
  <c r="Q18" i="2"/>
  <c r="U18" i="2" s="1"/>
  <c r="S18" i="2"/>
  <c r="Q14" i="2"/>
  <c r="U14" i="2" s="1"/>
  <c r="S14" i="2"/>
  <c r="AF14" i="2" s="1"/>
  <c r="P12" i="2"/>
  <c r="T12" i="2" s="1"/>
  <c r="S12" i="2"/>
  <c r="P54" i="2"/>
  <c r="T54" i="2" s="1"/>
  <c r="T32" i="2"/>
  <c r="S32" i="2"/>
  <c r="P37" i="2"/>
  <c r="T37" i="2" s="1"/>
  <c r="P16" i="2"/>
  <c r="T16" i="2" s="1"/>
  <c r="S16" i="2"/>
  <c r="P17" i="2"/>
  <c r="T17" i="2" s="1"/>
  <c r="S17" i="2"/>
  <c r="S10" i="2"/>
  <c r="Q13" i="2"/>
  <c r="U13" i="2" s="1"/>
  <c r="S13" i="2"/>
  <c r="AF13" i="2" s="1"/>
  <c r="S9" i="2"/>
  <c r="T9" i="2" s="1"/>
  <c r="U9" i="2" s="1"/>
  <c r="P11" i="2"/>
  <c r="S11" i="2"/>
  <c r="P55" i="2" l="1"/>
  <c r="T55" i="2" s="1"/>
  <c r="P44" i="2"/>
  <c r="T44" i="2" s="1"/>
  <c r="AI44" i="2" s="1"/>
  <c r="AG13" i="2"/>
  <c r="AJ13" i="2" s="1"/>
  <c r="AG14" i="2"/>
  <c r="AJ14" i="2" s="1"/>
  <c r="T11" i="2"/>
  <c r="S47" i="2"/>
  <c r="P36" i="2"/>
  <c r="T36" i="2" s="1"/>
  <c r="AI36" i="2" s="1"/>
  <c r="P53" i="2"/>
  <c r="T53" i="2" s="1"/>
  <c r="T40" i="2"/>
  <c r="Q48" i="2"/>
  <c r="U48" i="2" s="1"/>
  <c r="P43" i="2"/>
  <c r="T43" i="2" s="1"/>
  <c r="AI43" i="2" s="1"/>
  <c r="P56" i="2"/>
  <c r="T56" i="2" s="1"/>
  <c r="S51" i="2"/>
  <c r="P46" i="2"/>
  <c r="T46" i="2" s="1"/>
  <c r="AI46" i="2" s="1"/>
  <c r="Q50" i="2"/>
  <c r="U50" i="2" s="1"/>
  <c r="S45" i="2"/>
  <c r="T39" i="2"/>
  <c r="P42" i="2"/>
  <c r="T42" i="2" s="1"/>
  <c r="AI42" i="2" s="1"/>
  <c r="S40" i="2"/>
  <c r="Q51" i="2"/>
  <c r="U51" i="2" s="1"/>
  <c r="S50" i="2"/>
  <c r="P41" i="2"/>
  <c r="T41" i="2" s="1"/>
  <c r="AI41" i="2" s="1"/>
  <c r="Q52" i="2"/>
  <c r="U52" i="2" s="1"/>
  <c r="P38" i="2"/>
  <c r="T38" i="2" s="1"/>
  <c r="AI38" i="2" s="1"/>
  <c r="S34" i="2"/>
  <c r="P33" i="2"/>
  <c r="T33" i="2" s="1"/>
  <c r="S49" i="2"/>
  <c r="Q49" i="2"/>
  <c r="U49" i="2" s="1"/>
  <c r="S39" i="2"/>
  <c r="S48" i="2"/>
  <c r="S52" i="2"/>
  <c r="Q38" i="2"/>
  <c r="U38" i="2" s="1"/>
  <c r="Q44" i="2"/>
  <c r="U44" i="2" s="1"/>
  <c r="Q45" i="2"/>
  <c r="U45" i="2" s="1"/>
  <c r="U40" i="2"/>
  <c r="Q32" i="2"/>
  <c r="U32" i="2" s="1"/>
  <c r="Q37" i="2"/>
  <c r="U37" i="2" s="1"/>
  <c r="U39" i="2"/>
  <c r="Q55" i="2"/>
  <c r="U55" i="2" s="1"/>
  <c r="Q54" i="2"/>
  <c r="U54" i="2" s="1"/>
  <c r="Q47" i="2"/>
  <c r="U47" i="2" s="1"/>
  <c r="U34" i="2"/>
  <c r="T34" i="2"/>
  <c r="Q16" i="2"/>
  <c r="U16" i="2" s="1"/>
  <c r="Q12" i="2"/>
  <c r="U12" i="2" s="1"/>
  <c r="AI12" i="2"/>
  <c r="AI11" i="2"/>
  <c r="Q11" i="2"/>
  <c r="U11" i="2" s="1"/>
  <c r="Q17" i="2"/>
  <c r="U17" i="2" s="1"/>
  <c r="Q15" i="2"/>
  <c r="U15" i="2" s="1"/>
  <c r="N9" i="35"/>
  <c r="P9" i="35" s="1"/>
  <c r="Q10" i="35" s="1"/>
  <c r="Q36" i="2" l="1"/>
  <c r="U36" i="2" s="1"/>
  <c r="Q53" i="2"/>
  <c r="U53" i="2" s="1"/>
  <c r="Q56" i="2"/>
  <c r="U56" i="2" s="1"/>
  <c r="Q43" i="2"/>
  <c r="U43" i="2" s="1"/>
  <c r="Q46" i="2"/>
  <c r="U46" i="2" s="1"/>
  <c r="Q41" i="2"/>
  <c r="U41" i="2" s="1"/>
  <c r="Q42" i="2"/>
  <c r="U42" i="2" s="1"/>
  <c r="Q33" i="2"/>
  <c r="U33" i="2" s="1"/>
  <c r="K51" i="1"/>
  <c r="G44" i="46" s="1"/>
  <c r="K23" i="1"/>
  <c r="G23" i="46" s="1"/>
  <c r="Q9" i="35"/>
  <c r="U10" i="2"/>
  <c r="U19" i="2" s="1"/>
  <c r="Q19" i="2"/>
  <c r="U20" i="2" l="1"/>
  <c r="R9" i="35"/>
  <c r="K46" i="1"/>
  <c r="G39" i="46" s="1"/>
  <c r="K12" i="1"/>
  <c r="G12" i="46" s="1"/>
  <c r="K14" i="1"/>
  <c r="G14" i="46" s="1"/>
  <c r="K10" i="1"/>
  <c r="G10" i="46" s="1"/>
  <c r="K9" i="1"/>
  <c r="G9" i="46" s="1"/>
  <c r="K21" i="1"/>
  <c r="G21" i="46" s="1"/>
  <c r="K11" i="1"/>
  <c r="G11" i="46" s="1"/>
  <c r="K47" i="1"/>
  <c r="G40" i="46" s="1"/>
  <c r="K13" i="1"/>
  <c r="G13" i="46" s="1"/>
  <c r="T35" i="2" l="1"/>
  <c r="U35" i="2"/>
  <c r="U59" i="2" s="1"/>
  <c r="Q59" i="2" l="1"/>
  <c r="U60" i="2" s="1"/>
  <c r="S62" i="2" s="1"/>
  <c r="S63" i="2" s="1"/>
  <c r="W9" i="2" s="1"/>
  <c r="V11" i="2" l="1"/>
  <c r="V34" i="2"/>
  <c r="V9" i="2" l="1"/>
  <c r="V55" i="2"/>
  <c r="W55" i="2" s="1"/>
  <c r="V48" i="2"/>
  <c r="W48" i="2" s="1"/>
  <c r="V49" i="2"/>
  <c r="W49" i="2" s="1"/>
  <c r="V46" i="2"/>
  <c r="W46" i="2" s="1"/>
  <c r="V42" i="2"/>
  <c r="W42" i="2" s="1"/>
  <c r="V44" i="2"/>
  <c r="W44" i="2" s="1"/>
  <c r="V52" i="2"/>
  <c r="W52" i="2" s="1"/>
  <c r="V51" i="2"/>
  <c r="W51" i="2" s="1"/>
  <c r="V56" i="2"/>
  <c r="W56" i="2" s="1"/>
  <c r="V47" i="2"/>
  <c r="W47" i="2" s="1"/>
  <c r="V54" i="2"/>
  <c r="W54" i="2" s="1"/>
  <c r="V45" i="2"/>
  <c r="W45" i="2" s="1"/>
  <c r="V50" i="2"/>
  <c r="W50" i="2" s="1"/>
  <c r="V43" i="2"/>
  <c r="W43" i="2" s="1"/>
  <c r="V35" i="2"/>
  <c r="W35" i="2" s="1"/>
  <c r="V18" i="2"/>
  <c r="W18" i="2" s="1"/>
  <c r="V13" i="2"/>
  <c r="W13" i="2" s="1"/>
  <c r="V16" i="2"/>
  <c r="V14" i="2"/>
  <c r="W14" i="2" s="1"/>
  <c r="V41" i="2"/>
  <c r="W41" i="2" s="1"/>
  <c r="W11" i="2"/>
  <c r="V38" i="2"/>
  <c r="W38" i="2" s="1"/>
  <c r="V10" i="2"/>
  <c r="V39" i="2"/>
  <c r="V17" i="2"/>
  <c r="W17" i="2" s="1"/>
  <c r="V12" i="2"/>
  <c r="W12" i="2" s="1"/>
  <c r="V32" i="2"/>
  <c r="W32" i="2" s="1"/>
  <c r="V33" i="2"/>
  <c r="V40" i="2"/>
  <c r="V15" i="2"/>
  <c r="W15" i="2" s="1"/>
  <c r="V53" i="2"/>
  <c r="W53" i="2" s="1"/>
  <c r="W34" i="2"/>
  <c r="V36" i="2"/>
  <c r="W36" i="2" s="1"/>
  <c r="V37" i="2"/>
  <c r="W37" i="2" s="1"/>
  <c r="W16" i="2" l="1"/>
  <c r="X16" i="2"/>
  <c r="Y16" i="2" s="1"/>
  <c r="AB16" i="2" s="1"/>
  <c r="AA9" i="2"/>
  <c r="X10" i="2"/>
  <c r="W10" i="2"/>
  <c r="W40" i="2"/>
  <c r="X40" i="2"/>
  <c r="Z40" i="2" s="1"/>
  <c r="W39" i="2"/>
  <c r="X39" i="2"/>
  <c r="Z39" i="2" s="1"/>
  <c r="W33" i="2"/>
  <c r="X33" i="2"/>
  <c r="V59" i="2"/>
  <c r="X37" i="2"/>
  <c r="X53" i="2"/>
  <c r="V58" i="2"/>
  <c r="X17" i="2"/>
  <c r="AA38" i="2"/>
  <c r="Z18" i="2"/>
  <c r="X43" i="2"/>
  <c r="X47" i="2"/>
  <c r="X46" i="2"/>
  <c r="X11" i="2"/>
  <c r="Z14" i="2"/>
  <c r="X35" i="2"/>
  <c r="X50" i="2"/>
  <c r="Y50" i="2" s="1"/>
  <c r="AB50" i="2" s="1"/>
  <c r="X52" i="2"/>
  <c r="Y52" i="2" s="1"/>
  <c r="AB52" i="2" s="1"/>
  <c r="X49" i="2"/>
  <c r="Y49" i="2" s="1"/>
  <c r="AB49" i="2" s="1"/>
  <c r="X36" i="2"/>
  <c r="X15" i="2"/>
  <c r="X32" i="2"/>
  <c r="X41" i="2"/>
  <c r="V57" i="2"/>
  <c r="AA45" i="2"/>
  <c r="X45" i="2"/>
  <c r="X56" i="2"/>
  <c r="X44" i="2"/>
  <c r="X48" i="2"/>
  <c r="Y48" i="2" s="1"/>
  <c r="AB48" i="2" s="1"/>
  <c r="X34" i="2"/>
  <c r="AA41" i="2"/>
  <c r="W57" i="2"/>
  <c r="X12" i="2"/>
  <c r="X38" i="2"/>
  <c r="AA12" i="2"/>
  <c r="Z13" i="2"/>
  <c r="W58" i="2"/>
  <c r="X54" i="2"/>
  <c r="X51" i="2"/>
  <c r="Y51" i="2" s="1"/>
  <c r="AB51" i="2" s="1"/>
  <c r="X42" i="2"/>
  <c r="X55" i="2"/>
  <c r="AB9" i="2" l="1"/>
  <c r="AC9" i="2"/>
  <c r="W59" i="2"/>
  <c r="W60" i="2" s="1"/>
  <c r="Z10" i="2"/>
  <c r="AC10" i="2" s="1"/>
  <c r="Y10" i="2"/>
  <c r="AB10" i="2" s="1"/>
  <c r="W19" i="2"/>
  <c r="AC13" i="2"/>
  <c r="AC14" i="2"/>
  <c r="AC18" i="2"/>
  <c r="Y42" i="2"/>
  <c r="AB42" i="2" s="1"/>
  <c r="Z42" i="2"/>
  <c r="AC42" i="2" s="1"/>
  <c r="Y34" i="2"/>
  <c r="AB34" i="2" s="1"/>
  <c r="Z34" i="2"/>
  <c r="AC34" i="2" s="1"/>
  <c r="Z56" i="2"/>
  <c r="AC56" i="2" s="1"/>
  <c r="Y56" i="2"/>
  <c r="AB56" i="2" s="1"/>
  <c r="Z45" i="2"/>
  <c r="AC45" i="2" s="1"/>
  <c r="Y45" i="2"/>
  <c r="AB45" i="2" s="1"/>
  <c r="Y41" i="2"/>
  <c r="AB41" i="2" s="1"/>
  <c r="Z41" i="2"/>
  <c r="Z15" i="2"/>
  <c r="AC15" i="2" s="1"/>
  <c r="Y15" i="2"/>
  <c r="AB15" i="2" s="1"/>
  <c r="Z50" i="2"/>
  <c r="AC50" i="2" s="1"/>
  <c r="Y11" i="2"/>
  <c r="Z11" i="2"/>
  <c r="AC11" i="2" s="1"/>
  <c r="Z46" i="2"/>
  <c r="AC46" i="2" s="1"/>
  <c r="Y46" i="2"/>
  <c r="AB46" i="2" s="1"/>
  <c r="Y47" i="2"/>
  <c r="AB47" i="2" s="1"/>
  <c r="Z47" i="2"/>
  <c r="AC47" i="2" s="1"/>
  <c r="Y43" i="2"/>
  <c r="AB43" i="2" s="1"/>
  <c r="Z43" i="2"/>
  <c r="AC43" i="2" s="1"/>
  <c r="Y53" i="2"/>
  <c r="AB53" i="2" s="1"/>
  <c r="Z53" i="2"/>
  <c r="AC39" i="2"/>
  <c r="Y39" i="2"/>
  <c r="AB39" i="2" s="1"/>
  <c r="Z51" i="2"/>
  <c r="AC51" i="2" s="1"/>
  <c r="Y44" i="2"/>
  <c r="AB44" i="2" s="1"/>
  <c r="Z44" i="2"/>
  <c r="AC44" i="2" s="1"/>
  <c r="Z16" i="2"/>
  <c r="AC16" i="2" s="1"/>
  <c r="Z32" i="2"/>
  <c r="AC32" i="2" s="1"/>
  <c r="Y32" i="2"/>
  <c r="AB32" i="2" s="1"/>
  <c r="Y55" i="2"/>
  <c r="AB55" i="2" s="1"/>
  <c r="Z55" i="2"/>
  <c r="AC55" i="2" s="1"/>
  <c r="Y38" i="2"/>
  <c r="AB38" i="2" s="1"/>
  <c r="Z38" i="2"/>
  <c r="AC38" i="2" s="1"/>
  <c r="Y12" i="2"/>
  <c r="AB12" i="2" s="1"/>
  <c r="Z12" i="2"/>
  <c r="AC12" i="2" s="1"/>
  <c r="Y33" i="2"/>
  <c r="AB33" i="2" s="1"/>
  <c r="Z33" i="2"/>
  <c r="AC33" i="2" s="1"/>
  <c r="Y40" i="2"/>
  <c r="AB40" i="2" s="1"/>
  <c r="AC40" i="2"/>
  <c r="Y37" i="2"/>
  <c r="AB37" i="2" s="1"/>
  <c r="Z37" i="2"/>
  <c r="AC37" i="2" s="1"/>
  <c r="Y54" i="2"/>
  <c r="AB54" i="2" s="1"/>
  <c r="Z54" i="2"/>
  <c r="AC54" i="2" s="1"/>
  <c r="Z48" i="2"/>
  <c r="AC48" i="2" s="1"/>
  <c r="Y36" i="2"/>
  <c r="AB36" i="2" s="1"/>
  <c r="Z36" i="2"/>
  <c r="AC36" i="2" s="1"/>
  <c r="Z49" i="2"/>
  <c r="AC49" i="2" s="1"/>
  <c r="Z52" i="2"/>
  <c r="AC52" i="2" s="1"/>
  <c r="Y35" i="2"/>
  <c r="AB35" i="2" s="1"/>
  <c r="Z35" i="2"/>
  <c r="Z17" i="2"/>
  <c r="AC17" i="2" s="1"/>
  <c r="Y17" i="2"/>
  <c r="AB17" i="2" s="1"/>
  <c r="AB11" i="2" l="1"/>
  <c r="AC35" i="2"/>
  <c r="AD35" i="2"/>
  <c r="AF35" i="2" s="1"/>
  <c r="Z57" i="2"/>
  <c r="AC41" i="2"/>
  <c r="AC57" i="2" s="1"/>
  <c r="Z58" i="2"/>
  <c r="AC53" i="2"/>
  <c r="AC58" i="2" s="1"/>
  <c r="Z59" i="2"/>
  <c r="AG35" i="2" l="1"/>
  <c r="AJ35" i="2" s="1"/>
  <c r="AH35" i="2"/>
  <c r="AK35" i="2" s="1"/>
  <c r="AE35" i="2"/>
  <c r="AI35" i="2" s="1"/>
  <c r="AC59" i="2"/>
  <c r="Z60" i="2" s="1"/>
  <c r="V19" i="2" l="1"/>
  <c r="W20" i="2" s="1"/>
  <c r="U62" i="2" s="1"/>
  <c r="X9" i="2"/>
  <c r="Z9" i="2" s="1"/>
  <c r="V62" i="2" l="1"/>
  <c r="Y9" i="2"/>
  <c r="Z19" i="2" l="1"/>
  <c r="AC19" i="2"/>
  <c r="Z20" i="2" l="1"/>
  <c r="AB62" i="2" s="1"/>
  <c r="AB63" i="2" s="1"/>
  <c r="AE9" i="2" l="1"/>
  <c r="AI9" i="2" s="1"/>
  <c r="AJ9" i="2" s="1"/>
  <c r="AM9" i="2" s="1"/>
  <c r="AD11" i="2"/>
  <c r="AD33" i="2"/>
  <c r="AE33" i="2" s="1"/>
  <c r="AI33" i="2" s="1"/>
  <c r="AD39" i="2"/>
  <c r="AD10" i="2"/>
  <c r="AD40" i="2"/>
  <c r="AD16" i="2"/>
  <c r="AF16" i="2" s="1"/>
  <c r="AD15" i="2"/>
  <c r="AF15" i="2" s="1"/>
  <c r="AD17" i="2"/>
  <c r="AF17" i="2" s="1"/>
  <c r="AD34" i="2"/>
  <c r="AF34" i="2" s="1"/>
  <c r="AD37" i="2"/>
  <c r="AD53" i="2"/>
  <c r="AF53" i="2" s="1"/>
  <c r="AD54" i="2"/>
  <c r="AF54" i="2" s="1"/>
  <c r="AD55" i="2"/>
  <c r="AF55" i="2" s="1"/>
  <c r="AD32" i="2"/>
  <c r="AF32" i="2" s="1"/>
  <c r="AD56" i="2"/>
  <c r="AF56" i="2" s="1"/>
  <c r="AD38" i="2"/>
  <c r="AF38" i="2" s="1"/>
  <c r="AD49" i="2"/>
  <c r="AF49" i="2" s="1"/>
  <c r="AD48" i="2"/>
  <c r="AF48" i="2" s="1"/>
  <c r="AD42" i="2"/>
  <c r="AF42" i="2" s="1"/>
  <c r="AD41" i="2"/>
  <c r="AF41" i="2" s="1"/>
  <c r="AD50" i="2"/>
  <c r="AF50" i="2" s="1"/>
  <c r="AD47" i="2"/>
  <c r="AF47" i="2" s="1"/>
  <c r="AD14" i="2"/>
  <c r="AH14" i="2" s="1"/>
  <c r="AK14" i="2" s="1"/>
  <c r="AD45" i="2"/>
  <c r="AF45" i="2" s="1"/>
  <c r="AD9" i="2"/>
  <c r="AF9" i="2" s="1"/>
  <c r="AH9" i="2" s="1"/>
  <c r="AD18" i="2"/>
  <c r="AF11" i="2"/>
  <c r="AD51" i="2"/>
  <c r="AF51" i="2" s="1"/>
  <c r="AD36" i="2"/>
  <c r="AF36" i="2" s="1"/>
  <c r="AD43" i="2"/>
  <c r="AF43" i="2" s="1"/>
  <c r="AD52" i="2"/>
  <c r="AF52" i="2" s="1"/>
  <c r="AD46" i="2"/>
  <c r="AF46" i="2" s="1"/>
  <c r="AD44" i="2"/>
  <c r="AF44" i="2" s="1"/>
  <c r="AD12" i="2"/>
  <c r="AF12" i="2" s="1"/>
  <c r="AD13" i="2"/>
  <c r="AH13" i="2" s="1"/>
  <c r="AK13" i="2" s="1"/>
  <c r="AK9" i="2" l="1"/>
  <c r="AG17" i="2"/>
  <c r="AH17" i="2"/>
  <c r="AK17" i="2" s="1"/>
  <c r="AG15" i="2"/>
  <c r="AH15" i="2"/>
  <c r="AK15" i="2" s="1"/>
  <c r="AG11" i="2"/>
  <c r="AH11" i="2"/>
  <c r="AK11" i="2" s="1"/>
  <c r="AG12" i="2"/>
  <c r="AH12" i="2"/>
  <c r="AK12" i="2" s="1"/>
  <c r="AF37" i="2"/>
  <c r="AG37" i="2" s="1"/>
  <c r="AJ37" i="2" s="1"/>
  <c r="AE37" i="2"/>
  <c r="AG16" i="2"/>
  <c r="AH16" i="2"/>
  <c r="AK16" i="2" s="1"/>
  <c r="AP9" i="2"/>
  <c r="L51" i="1" s="1"/>
  <c r="N51" i="1" s="1"/>
  <c r="G51" i="1"/>
  <c r="C44" i="46" s="1"/>
  <c r="AG9" i="2"/>
  <c r="AF18" i="2"/>
  <c r="AG43" i="2"/>
  <c r="AJ43" i="2" s="1"/>
  <c r="AH43" i="2"/>
  <c r="AK43" i="2" s="1"/>
  <c r="AG47" i="2"/>
  <c r="AJ47" i="2" s="1"/>
  <c r="AH47" i="2"/>
  <c r="AK47" i="2" s="1"/>
  <c r="AG32" i="2"/>
  <c r="AJ32" i="2" s="1"/>
  <c r="AH32" i="2"/>
  <c r="AK32" i="2" s="1"/>
  <c r="AG44" i="2"/>
  <c r="AJ44" i="2" s="1"/>
  <c r="AH44" i="2"/>
  <c r="AK44" i="2" s="1"/>
  <c r="AG36" i="2"/>
  <c r="AJ36" i="2" s="1"/>
  <c r="AH36" i="2"/>
  <c r="AK36" i="2" s="1"/>
  <c r="AG50" i="2"/>
  <c r="AJ50" i="2" s="1"/>
  <c r="AH50" i="2"/>
  <c r="AK50" i="2" s="1"/>
  <c r="AG49" i="2"/>
  <c r="AJ49" i="2" s="1"/>
  <c r="AH49" i="2"/>
  <c r="AK49" i="2" s="1"/>
  <c r="AG55" i="2"/>
  <c r="AJ55" i="2" s="1"/>
  <c r="AH55" i="2"/>
  <c r="AK55" i="2" s="1"/>
  <c r="AG34" i="2"/>
  <c r="AJ34" i="2" s="1"/>
  <c r="AH34" i="2"/>
  <c r="AK34" i="2" s="1"/>
  <c r="AE40" i="2"/>
  <c r="AI40" i="2" s="1"/>
  <c r="AF40" i="2"/>
  <c r="AG51" i="2"/>
  <c r="AJ51" i="2" s="1"/>
  <c r="AH51" i="2"/>
  <c r="AK51" i="2" s="1"/>
  <c r="AG38" i="2"/>
  <c r="AJ38" i="2" s="1"/>
  <c r="AH38" i="2"/>
  <c r="AK38" i="2" s="1"/>
  <c r="AG54" i="2"/>
  <c r="AJ54" i="2" s="1"/>
  <c r="AH54" i="2"/>
  <c r="AK54" i="2" s="1"/>
  <c r="AE10" i="2"/>
  <c r="AI10" i="2" s="1"/>
  <c r="AF10" i="2"/>
  <c r="AG46" i="2"/>
  <c r="AJ46" i="2" s="1"/>
  <c r="AH46" i="2"/>
  <c r="AK46" i="2" s="1"/>
  <c r="AG45" i="2"/>
  <c r="AJ45" i="2" s="1"/>
  <c r="AH45" i="2"/>
  <c r="AK45" i="2" s="1"/>
  <c r="AG41" i="2"/>
  <c r="AJ41" i="2" s="1"/>
  <c r="AH41" i="2"/>
  <c r="AK41" i="2" s="1"/>
  <c r="AG52" i="2"/>
  <c r="AJ52" i="2" s="1"/>
  <c r="AH52" i="2"/>
  <c r="AK52" i="2" s="1"/>
  <c r="AG42" i="2"/>
  <c r="AJ42" i="2" s="1"/>
  <c r="AH42" i="2"/>
  <c r="AK42" i="2" s="1"/>
  <c r="AG56" i="2"/>
  <c r="AJ56" i="2" s="1"/>
  <c r="AH56" i="2"/>
  <c r="AK56" i="2" s="1"/>
  <c r="AG53" i="2"/>
  <c r="AJ53" i="2" s="1"/>
  <c r="AH53" i="2"/>
  <c r="AK53" i="2" s="1"/>
  <c r="AE39" i="2"/>
  <c r="AI39" i="2" s="1"/>
  <c r="AF39" i="2"/>
  <c r="AG48" i="2"/>
  <c r="AJ48" i="2" s="1"/>
  <c r="AH48" i="2"/>
  <c r="AK48" i="2" s="1"/>
  <c r="AF33" i="2"/>
  <c r="AE46" i="2"/>
  <c r="AE44" i="2"/>
  <c r="AE36" i="2"/>
  <c r="AE50" i="2"/>
  <c r="AE49" i="2"/>
  <c r="AE55" i="2"/>
  <c r="AI55" i="2" s="1"/>
  <c r="AE34" i="2"/>
  <c r="AI34" i="2" s="1"/>
  <c r="AE51" i="2"/>
  <c r="AE45" i="2"/>
  <c r="AE41" i="2"/>
  <c r="AE38" i="2"/>
  <c r="AE54" i="2"/>
  <c r="AI54" i="2" s="1"/>
  <c r="AE17" i="2"/>
  <c r="AI17" i="2" s="1"/>
  <c r="AE11" i="2"/>
  <c r="AE42" i="2"/>
  <c r="AE53" i="2"/>
  <c r="AI53" i="2" s="1"/>
  <c r="AE15" i="2"/>
  <c r="AI15" i="2" s="1"/>
  <c r="AE13" i="2"/>
  <c r="AE52" i="2"/>
  <c r="AE14" i="2"/>
  <c r="AE56" i="2"/>
  <c r="AI56" i="2" s="1"/>
  <c r="AE12" i="2"/>
  <c r="AE43" i="2"/>
  <c r="AE18" i="2"/>
  <c r="AE47" i="2"/>
  <c r="AE48" i="2"/>
  <c r="AE32" i="2"/>
  <c r="AI32" i="2" s="1"/>
  <c r="AE16" i="2"/>
  <c r="AI16" i="2" s="1"/>
  <c r="AD57" i="2"/>
  <c r="AD58" i="2"/>
  <c r="AD19" i="2"/>
  <c r="AD59" i="2"/>
  <c r="AH37" i="2" l="1"/>
  <c r="AK37" i="2" s="1"/>
  <c r="I51" i="1"/>
  <c r="E44" i="46" s="1"/>
  <c r="J51" i="1"/>
  <c r="F44" i="46" s="1"/>
  <c r="O51" i="1"/>
  <c r="Q51" i="1" s="1"/>
  <c r="R51" i="1" s="1"/>
  <c r="T51" i="1" s="1"/>
  <c r="AJ11" i="2"/>
  <c r="AG10" i="2"/>
  <c r="AH10" i="2"/>
  <c r="AG18" i="2"/>
  <c r="AJ18" i="2" s="1"/>
  <c r="AH18" i="2"/>
  <c r="AK18" i="2" s="1"/>
  <c r="U6" i="23"/>
  <c r="AL17" i="2"/>
  <c r="AJ17" i="2"/>
  <c r="AJ16" i="2"/>
  <c r="AJ12" i="2"/>
  <c r="AJ15" i="2"/>
  <c r="AL15" i="2"/>
  <c r="AI37" i="2"/>
  <c r="AG33" i="2"/>
  <c r="AJ33" i="2" s="1"/>
  <c r="AH33" i="2"/>
  <c r="AK33" i="2" s="1"/>
  <c r="AG39" i="2"/>
  <c r="AJ39" i="2" s="1"/>
  <c r="AH39" i="2"/>
  <c r="AK39" i="2" s="1"/>
  <c r="AK58" i="2"/>
  <c r="AH58" i="2"/>
  <c r="AK57" i="2"/>
  <c r="AH57" i="2"/>
  <c r="AG40" i="2"/>
  <c r="AJ40" i="2" s="1"/>
  <c r="AH40" i="2"/>
  <c r="AK40" i="2" s="1"/>
  <c r="AE58" i="2"/>
  <c r="AE57" i="2"/>
  <c r="AE19" i="2"/>
  <c r="AE20" i="2" s="1"/>
  <c r="AE59" i="2"/>
  <c r="AE60" i="2" s="1"/>
  <c r="AK59" i="2" l="1"/>
  <c r="AJ10" i="2"/>
  <c r="AL10" i="2"/>
  <c r="AM15" i="2"/>
  <c r="AP15" i="2" s="1"/>
  <c r="AO15" i="2"/>
  <c r="L12" i="1" s="1"/>
  <c r="N12" i="1" s="1"/>
  <c r="G12" i="1"/>
  <c r="C12" i="46" s="1"/>
  <c r="AM17" i="2"/>
  <c r="AP17" i="2" s="1"/>
  <c r="G14" i="1"/>
  <c r="C14" i="46" s="1"/>
  <c r="AO17" i="2"/>
  <c r="L14" i="1" s="1"/>
  <c r="N14" i="1" s="1"/>
  <c r="AK10" i="2"/>
  <c r="AK19" i="2" s="1"/>
  <c r="AH19" i="2"/>
  <c r="AD62" i="2"/>
  <c r="AE62" i="2" s="1"/>
  <c r="AH59" i="2"/>
  <c r="AH60" i="2" l="1"/>
  <c r="I12" i="1"/>
  <c r="E12" i="46" s="1"/>
  <c r="J12" i="1"/>
  <c r="F12" i="46" s="1"/>
  <c r="O12" i="1"/>
  <c r="Q12" i="1" s="1"/>
  <c r="R12" i="1" s="1"/>
  <c r="T12" i="1" s="1"/>
  <c r="U8" i="23"/>
  <c r="AH20" i="2"/>
  <c r="AO10" i="2"/>
  <c r="G46" i="1"/>
  <c r="C39" i="46" s="1"/>
  <c r="G9" i="1"/>
  <c r="C9" i="46" s="1"/>
  <c r="AM10" i="2"/>
  <c r="AP10" i="2" s="1"/>
  <c r="I14" i="1"/>
  <c r="E14" i="46" s="1"/>
  <c r="O14" i="1"/>
  <c r="Q14" i="1" s="1"/>
  <c r="R14" i="1" s="1"/>
  <c r="T14" i="1" s="1"/>
  <c r="J14" i="1"/>
  <c r="F14" i="46" s="1"/>
  <c r="AJ62" i="2" l="1"/>
  <c r="J9" i="1"/>
  <c r="F9" i="46" s="1"/>
  <c r="V39" i="1"/>
  <c r="I9" i="1"/>
  <c r="E9" i="46" s="1"/>
  <c r="U7" i="23"/>
  <c r="V15" i="1"/>
  <c r="X15" i="1" s="1"/>
  <c r="V33" i="1"/>
  <c r="V9" i="1"/>
  <c r="X9" i="1" s="1"/>
  <c r="I46" i="1"/>
  <c r="E39" i="46" s="1"/>
  <c r="J46" i="1"/>
  <c r="F39" i="46" s="1"/>
  <c r="L9" i="1"/>
  <c r="N9" i="1" s="1"/>
  <c r="L46" i="1"/>
  <c r="N46" i="1" s="1"/>
  <c r="AJ63" i="2"/>
  <c r="AL32" i="2" s="1"/>
  <c r="AM32" i="2" l="1"/>
  <c r="AP32" i="2" s="1"/>
  <c r="AO32" i="2"/>
  <c r="L48" i="1" s="1"/>
  <c r="N48" i="1" s="1"/>
  <c r="G48" i="1"/>
  <c r="C41" i="46" s="1"/>
  <c r="AL56" i="2"/>
  <c r="AL55" i="2"/>
  <c r="AL16" i="2"/>
  <c r="AL53" i="2"/>
  <c r="AL54" i="2"/>
  <c r="O46" i="1"/>
  <c r="Q46" i="1" s="1"/>
  <c r="O9" i="1"/>
  <c r="Q9" i="1" s="1"/>
  <c r="AL12" i="2"/>
  <c r="AL11" i="2"/>
  <c r="AL9" i="2"/>
  <c r="X33" i="1"/>
  <c r="X39" i="1"/>
  <c r="AL33" i="2"/>
  <c r="AL37" i="2"/>
  <c r="AL41" i="2"/>
  <c r="AO41" i="2" s="1"/>
  <c r="AL45" i="2"/>
  <c r="AL49" i="2"/>
  <c r="AL34" i="2"/>
  <c r="AL38" i="2"/>
  <c r="AL42" i="2"/>
  <c r="AL46" i="2"/>
  <c r="AL50" i="2"/>
  <c r="AL13" i="2"/>
  <c r="AL35" i="2"/>
  <c r="AL39" i="2"/>
  <c r="AL43" i="2"/>
  <c r="AL47" i="2"/>
  <c r="AL51" i="2"/>
  <c r="AL14" i="2"/>
  <c r="AL18" i="2"/>
  <c r="AL36" i="2"/>
  <c r="AL40" i="2"/>
  <c r="AL44" i="2"/>
  <c r="AL48" i="2"/>
  <c r="AL52" i="2"/>
  <c r="I48" i="1" l="1"/>
  <c r="E41" i="46" s="1"/>
  <c r="J48" i="1"/>
  <c r="F41" i="46" s="1"/>
  <c r="H19" i="23"/>
  <c r="O48" i="1"/>
  <c r="Q48" i="1" s="1"/>
  <c r="R48" i="1" s="1"/>
  <c r="AM53" i="2"/>
  <c r="AL58" i="2"/>
  <c r="AO53" i="2"/>
  <c r="AM16" i="2"/>
  <c r="AP16" i="2" s="1"/>
  <c r="AO16" i="2"/>
  <c r="L13" i="1" s="1"/>
  <c r="N13" i="1" s="1"/>
  <c r="G13" i="1"/>
  <c r="C13" i="46" s="1"/>
  <c r="AM55" i="2"/>
  <c r="AP55" i="2" s="1"/>
  <c r="AO55" i="2"/>
  <c r="AM54" i="2"/>
  <c r="AP54" i="2" s="1"/>
  <c r="AO54" i="2"/>
  <c r="AM56" i="2"/>
  <c r="AP56" i="2" s="1"/>
  <c r="AO56" i="2"/>
  <c r="G31" i="1"/>
  <c r="C31" i="46" s="1"/>
  <c r="AO13" i="2"/>
  <c r="L31" i="1" s="1"/>
  <c r="N31" i="1" s="1"/>
  <c r="AM40" i="2"/>
  <c r="AP40" i="2" s="1"/>
  <c r="AO40" i="2"/>
  <c r="L29" i="1" s="1"/>
  <c r="N29" i="1" s="1"/>
  <c r="G29" i="1"/>
  <c r="C29" i="46" s="1"/>
  <c r="AM51" i="2"/>
  <c r="AP51" i="2" s="1"/>
  <c r="AO51" i="2"/>
  <c r="AM35" i="2"/>
  <c r="AP35" i="2" s="1"/>
  <c r="G17" i="1"/>
  <c r="C17" i="46" s="1"/>
  <c r="AO35" i="2"/>
  <c r="L17" i="1" s="1"/>
  <c r="N17" i="1" s="1"/>
  <c r="AM42" i="2"/>
  <c r="AP42" i="2" s="1"/>
  <c r="AO42" i="2"/>
  <c r="AM45" i="2"/>
  <c r="AP45" i="2" s="1"/>
  <c r="AO45" i="2"/>
  <c r="R9" i="1"/>
  <c r="AM52" i="2"/>
  <c r="AP52" i="2" s="1"/>
  <c r="AO52" i="2"/>
  <c r="AO9" i="2"/>
  <c r="L47" i="1" s="1"/>
  <c r="N47" i="1" s="1"/>
  <c r="G47" i="1"/>
  <c r="C40" i="46" s="1"/>
  <c r="R46" i="1"/>
  <c r="T46" i="1" s="1"/>
  <c r="AM36" i="2"/>
  <c r="AP36" i="2" s="1"/>
  <c r="AO36" i="2"/>
  <c r="L16" i="1" s="1"/>
  <c r="N16" i="1" s="1"/>
  <c r="G16" i="1"/>
  <c r="C16" i="46" s="1"/>
  <c r="AM38" i="2"/>
  <c r="G22" i="1"/>
  <c r="C22" i="46" s="1"/>
  <c r="AO38" i="2"/>
  <c r="L22" i="1" s="1"/>
  <c r="N22" i="1" s="1"/>
  <c r="AM48" i="2"/>
  <c r="AP48" i="2" s="1"/>
  <c r="AO48" i="2"/>
  <c r="AM18" i="2"/>
  <c r="AP18" i="2" s="1"/>
  <c r="AO18" i="2"/>
  <c r="L21" i="1" s="1"/>
  <c r="N21" i="1" s="1"/>
  <c r="G21" i="1"/>
  <c r="C21" i="46" s="1"/>
  <c r="AM43" i="2"/>
  <c r="AP43" i="2" s="1"/>
  <c r="AO43" i="2"/>
  <c r="AM50" i="2"/>
  <c r="AP50" i="2" s="1"/>
  <c r="AO50" i="2"/>
  <c r="AM34" i="2"/>
  <c r="AP34" i="2" s="1"/>
  <c r="G18" i="1"/>
  <c r="C18" i="46" s="1"/>
  <c r="AO34" i="2"/>
  <c r="L18" i="1" s="1"/>
  <c r="N18" i="1" s="1"/>
  <c r="AM37" i="2"/>
  <c r="AP37" i="2" s="1"/>
  <c r="G19" i="1"/>
  <c r="C19" i="46" s="1"/>
  <c r="AO37" i="2"/>
  <c r="L19" i="1" s="1"/>
  <c r="N19" i="1" s="1"/>
  <c r="AO11" i="2"/>
  <c r="L10" i="1" s="1"/>
  <c r="N10" i="1" s="1"/>
  <c r="G10" i="1"/>
  <c r="C10" i="46" s="1"/>
  <c r="AM11" i="2"/>
  <c r="AP11" i="2" s="1"/>
  <c r="AM47" i="2"/>
  <c r="AP47" i="2" s="1"/>
  <c r="AO47" i="2"/>
  <c r="AM44" i="2"/>
  <c r="AP44" i="2" s="1"/>
  <c r="AO44" i="2"/>
  <c r="AM14" i="2"/>
  <c r="AP14" i="2" s="1"/>
  <c r="AO14" i="2"/>
  <c r="L30" i="1" s="1"/>
  <c r="N30" i="1" s="1"/>
  <c r="G30" i="1"/>
  <c r="C30" i="46" s="1"/>
  <c r="AM39" i="2"/>
  <c r="AP39" i="2" s="1"/>
  <c r="G32" i="1"/>
  <c r="C32" i="46" s="1"/>
  <c r="AO39" i="2"/>
  <c r="L32" i="1" s="1"/>
  <c r="N32" i="1" s="1"/>
  <c r="AM46" i="2"/>
  <c r="AP46" i="2" s="1"/>
  <c r="AO46" i="2"/>
  <c r="AM49" i="2"/>
  <c r="AP49" i="2" s="1"/>
  <c r="AO49" i="2"/>
  <c r="G15" i="1"/>
  <c r="C15" i="46" s="1"/>
  <c r="AO33" i="2"/>
  <c r="L15" i="1" s="1"/>
  <c r="N15" i="1" s="1"/>
  <c r="AM12" i="2"/>
  <c r="G11" i="1"/>
  <c r="C11" i="46" s="1"/>
  <c r="AO12" i="2"/>
  <c r="L11" i="1" s="1"/>
  <c r="N11" i="1" s="1"/>
  <c r="AM13" i="2"/>
  <c r="AL19" i="2"/>
  <c r="AM41" i="2"/>
  <c r="AL57" i="2"/>
  <c r="AM33" i="2"/>
  <c r="AP33" i="2" s="1"/>
  <c r="AL59" i="2"/>
  <c r="V10" i="1" l="1"/>
  <c r="T48" i="1"/>
  <c r="O13" i="1"/>
  <c r="Q13" i="1" s="1"/>
  <c r="R13" i="1" s="1"/>
  <c r="T13" i="1" s="1"/>
  <c r="J13" i="1"/>
  <c r="F13" i="46" s="1"/>
  <c r="I13" i="1"/>
  <c r="E13" i="46" s="1"/>
  <c r="U9" i="23"/>
  <c r="AO58" i="2"/>
  <c r="L50" i="1" s="1"/>
  <c r="N50" i="1" s="1"/>
  <c r="G50" i="1"/>
  <c r="C43" i="46" s="1"/>
  <c r="AP53" i="2"/>
  <c r="AM58" i="2"/>
  <c r="AP58" i="2" s="1"/>
  <c r="AM57" i="2"/>
  <c r="AP41" i="2"/>
  <c r="J11" i="1"/>
  <c r="F11" i="46" s="1"/>
  <c r="I11" i="1"/>
  <c r="E11" i="46" s="1"/>
  <c r="O11" i="1"/>
  <c r="Q11" i="1" s="1"/>
  <c r="R11" i="1" s="1"/>
  <c r="T11" i="1" s="1"/>
  <c r="U13" i="23"/>
  <c r="I47" i="1"/>
  <c r="E40" i="46" s="1"/>
  <c r="J47" i="1"/>
  <c r="F40" i="46" s="1"/>
  <c r="O47" i="1"/>
  <c r="Q47" i="1" s="1"/>
  <c r="V34" i="1"/>
  <c r="J18" i="1"/>
  <c r="F18" i="46" s="1"/>
  <c r="I18" i="1"/>
  <c r="E18" i="46" s="1"/>
  <c r="O18" i="1"/>
  <c r="Q18" i="1" s="1"/>
  <c r="R18" i="1" s="1"/>
  <c r="T18" i="1" s="1"/>
  <c r="I22" i="1"/>
  <c r="E22" i="46" s="1"/>
  <c r="O22" i="1"/>
  <c r="Q22" i="1" s="1"/>
  <c r="R22" i="1" s="1"/>
  <c r="T22" i="1" s="1"/>
  <c r="J22" i="1"/>
  <c r="F22" i="46" s="1"/>
  <c r="T9" i="1"/>
  <c r="AP12" i="2"/>
  <c r="L23" i="1" s="1"/>
  <c r="N23" i="1" s="1"/>
  <c r="G23" i="1"/>
  <c r="C23" i="46" s="1"/>
  <c r="I32" i="1"/>
  <c r="E32" i="46" s="1"/>
  <c r="J32" i="1"/>
  <c r="F32" i="46" s="1"/>
  <c r="O32" i="1"/>
  <c r="Q32" i="1" s="1"/>
  <c r="R32" i="1" s="1"/>
  <c r="T32" i="1" s="1"/>
  <c r="AM19" i="2"/>
  <c r="AM20" i="2" s="1"/>
  <c r="AP13" i="2"/>
  <c r="I19" i="1"/>
  <c r="E19" i="46" s="1"/>
  <c r="O19" i="1"/>
  <c r="Q19" i="1" s="1"/>
  <c r="R19" i="1" s="1"/>
  <c r="T19" i="1" s="1"/>
  <c r="J19" i="1"/>
  <c r="F19" i="46" s="1"/>
  <c r="G26" i="1"/>
  <c r="C26" i="46" s="1"/>
  <c r="AP38" i="2"/>
  <c r="L26" i="1" s="1"/>
  <c r="N26" i="1" s="1"/>
  <c r="AO57" i="2"/>
  <c r="G49" i="1"/>
  <c r="C42" i="46" s="1"/>
  <c r="G20" i="1"/>
  <c r="C20" i="46" s="1"/>
  <c r="E19" i="23"/>
  <c r="I15" i="1"/>
  <c r="E15" i="46" s="1"/>
  <c r="O15" i="1"/>
  <c r="Q15" i="1" s="1"/>
  <c r="R15" i="1" s="1"/>
  <c r="J15" i="1"/>
  <c r="F15" i="46" s="1"/>
  <c r="J30" i="1"/>
  <c r="F30" i="46" s="1"/>
  <c r="U11" i="23"/>
  <c r="I30" i="1"/>
  <c r="E30" i="46" s="1"/>
  <c r="O30" i="1"/>
  <c r="Q30" i="1" s="1"/>
  <c r="R30" i="1" s="1"/>
  <c r="T30" i="1" s="1"/>
  <c r="V27" i="1"/>
  <c r="U10" i="23"/>
  <c r="I10" i="1"/>
  <c r="E10" i="46" s="1"/>
  <c r="O10" i="1"/>
  <c r="Q10" i="1" s="1"/>
  <c r="J10" i="1"/>
  <c r="F10" i="46" s="1"/>
  <c r="I21" i="1"/>
  <c r="E21" i="46" s="1"/>
  <c r="U15" i="23"/>
  <c r="J21" i="1"/>
  <c r="F21" i="46" s="1"/>
  <c r="O21" i="1"/>
  <c r="Q21" i="1" s="1"/>
  <c r="R21" i="1" s="1"/>
  <c r="T21" i="1" s="1"/>
  <c r="I16" i="1"/>
  <c r="E16" i="46" s="1"/>
  <c r="J16" i="1"/>
  <c r="F16" i="46" s="1"/>
  <c r="O16" i="1"/>
  <c r="Q16" i="1" s="1"/>
  <c r="R16" i="1" s="1"/>
  <c r="F19" i="23"/>
  <c r="I17" i="1"/>
  <c r="E17" i="46" s="1"/>
  <c r="I19" i="23"/>
  <c r="O17" i="1"/>
  <c r="Q17" i="1" s="1"/>
  <c r="R17" i="1" s="1"/>
  <c r="T17" i="1" s="1"/>
  <c r="V40" i="1"/>
  <c r="J17" i="1"/>
  <c r="F17" i="46" s="1"/>
  <c r="I29" i="1"/>
  <c r="E29" i="46" s="1"/>
  <c r="J29" i="1"/>
  <c r="F29" i="46" s="1"/>
  <c r="J19" i="23"/>
  <c r="O29" i="1"/>
  <c r="Q29" i="1" s="1"/>
  <c r="R29" i="1" s="1"/>
  <c r="T29" i="1" s="1"/>
  <c r="J31" i="1"/>
  <c r="F31" i="46" s="1"/>
  <c r="I31" i="1"/>
  <c r="E31" i="46" s="1"/>
  <c r="O31" i="1"/>
  <c r="Q31" i="1" s="1"/>
  <c r="R31" i="1" s="1"/>
  <c r="T31" i="1" s="1"/>
  <c r="U12" i="23"/>
  <c r="AM59" i="2"/>
  <c r="AM60" i="2" s="1"/>
  <c r="X10" i="1" l="1"/>
  <c r="V11" i="1"/>
  <c r="X11" i="1" s="1"/>
  <c r="J50" i="1"/>
  <c r="F43" i="46" s="1"/>
  <c r="K19" i="23"/>
  <c r="O50" i="1"/>
  <c r="Q50" i="1" s="1"/>
  <c r="R50" i="1" s="1"/>
  <c r="T50" i="1" s="1"/>
  <c r="I50" i="1"/>
  <c r="E43" i="46" s="1"/>
  <c r="T16" i="1"/>
  <c r="V16" i="1"/>
  <c r="J20" i="1"/>
  <c r="F20" i="46" s="1"/>
  <c r="I20" i="1"/>
  <c r="E20" i="46" s="1"/>
  <c r="L19" i="23"/>
  <c r="AL62" i="2"/>
  <c r="AM62" i="2" s="1"/>
  <c r="T15" i="1"/>
  <c r="V28" i="1"/>
  <c r="X28" i="1" s="1"/>
  <c r="J49" i="1"/>
  <c r="F42" i="46" s="1"/>
  <c r="I49" i="1"/>
  <c r="E42" i="46" s="1"/>
  <c r="U14" i="23"/>
  <c r="F23" i="23" s="1"/>
  <c r="I23" i="1"/>
  <c r="E23" i="46" s="1"/>
  <c r="J23" i="1"/>
  <c r="F23" i="46" s="1"/>
  <c r="O23" i="1"/>
  <c r="Q23" i="1" s="1"/>
  <c r="R23" i="1" s="1"/>
  <c r="T23" i="1" s="1"/>
  <c r="R47" i="1"/>
  <c r="R10" i="1"/>
  <c r="X40" i="1"/>
  <c r="V41" i="1"/>
  <c r="X41" i="1" s="1"/>
  <c r="I26" i="1"/>
  <c r="E26" i="46" s="1"/>
  <c r="G19" i="23"/>
  <c r="O26" i="1"/>
  <c r="Q26" i="1" s="1"/>
  <c r="R26" i="1" s="1"/>
  <c r="T26" i="1" s="1"/>
  <c r="J26" i="1"/>
  <c r="F26" i="46" s="1"/>
  <c r="X34" i="1"/>
  <c r="V35" i="1"/>
  <c r="X35" i="1" s="1"/>
  <c r="L20" i="1"/>
  <c r="N20" i="1" s="1"/>
  <c r="L49" i="1"/>
  <c r="N49" i="1" s="1"/>
  <c r="T52" i="1" s="1"/>
  <c r="X27" i="1"/>
  <c r="V29" i="1"/>
  <c r="X29" i="1" s="1"/>
  <c r="AP57" i="2"/>
  <c r="G25" i="1"/>
  <c r="C25" i="46" s="1"/>
  <c r="G24" i="1"/>
  <c r="C24" i="46" s="1"/>
  <c r="L12" i="23"/>
  <c r="T7" i="23"/>
  <c r="I25" i="1" l="1"/>
  <c r="E25" i="46" s="1"/>
  <c r="J25" i="1"/>
  <c r="F25" i="46" s="1"/>
  <c r="T10" i="1"/>
  <c r="S65" i="2"/>
  <c r="L24" i="1"/>
  <c r="N24" i="1" s="1"/>
  <c r="L25" i="1"/>
  <c r="N25" i="1" s="1"/>
  <c r="T55" i="1"/>
  <c r="O49" i="1"/>
  <c r="Q49" i="1" s="1"/>
  <c r="I24" i="1"/>
  <c r="E24" i="46" s="1"/>
  <c r="J24" i="1"/>
  <c r="F24" i="46" s="1"/>
  <c r="M19" i="23"/>
  <c r="F24" i="23"/>
  <c r="X16" i="1"/>
  <c r="V17" i="1"/>
  <c r="X17" i="1" s="1"/>
  <c r="O20" i="1"/>
  <c r="Q20" i="1" s="1"/>
  <c r="J11" i="34"/>
  <c r="K11" i="34" s="1"/>
  <c r="D15" i="35" s="1"/>
  <c r="L17" i="23"/>
  <c r="M8" i="23"/>
  <c r="M12" i="23"/>
  <c r="N12" i="23" s="1"/>
  <c r="S12" i="23" s="1"/>
  <c r="N7" i="23"/>
  <c r="S7" i="23" s="1"/>
  <c r="J6" i="34"/>
  <c r="J7" i="34"/>
  <c r="K7" i="34" s="1"/>
  <c r="O24" i="1" l="1"/>
  <c r="Q24" i="1" s="1"/>
  <c r="R24" i="1" s="1"/>
  <c r="T24" i="1" s="1"/>
  <c r="T33" i="1"/>
  <c r="T36" i="1" s="1"/>
  <c r="R20" i="1"/>
  <c r="O25" i="1"/>
  <c r="Q25" i="1" s="1"/>
  <c r="R25" i="1" s="1"/>
  <c r="T25" i="1" s="1"/>
  <c r="F25" i="23"/>
  <c r="F26" i="23"/>
  <c r="F28" i="23" s="1"/>
  <c r="R49" i="1"/>
  <c r="T53" i="1"/>
  <c r="M17" i="23"/>
  <c r="M18" i="23" s="1"/>
  <c r="O8" i="23"/>
  <c r="T8" i="23" s="1"/>
  <c r="O12" i="23"/>
  <c r="T12" i="23" s="1"/>
  <c r="N8" i="23"/>
  <c r="S8" i="23" s="1"/>
  <c r="N15" i="23"/>
  <c r="S15" i="23" s="1"/>
  <c r="J13" i="34"/>
  <c r="K13" i="34" s="1"/>
  <c r="T15" i="23"/>
  <c r="J14" i="34"/>
  <c r="K6" i="34"/>
  <c r="D11" i="35"/>
  <c r="L18" i="23"/>
  <c r="C20" i="1" l="1"/>
  <c r="D51" i="46" s="1"/>
  <c r="F27" i="23"/>
  <c r="T34" i="1"/>
  <c r="T49" i="1"/>
  <c r="V22" i="1"/>
  <c r="X22" i="1" s="1"/>
  <c r="T56" i="1"/>
  <c r="T54" i="1"/>
  <c r="T57" i="1" s="1"/>
  <c r="T20" i="1"/>
  <c r="V21" i="1"/>
  <c r="S66" i="2"/>
  <c r="S67" i="2" s="1"/>
  <c r="T65" i="2" s="1"/>
  <c r="F31" i="23"/>
  <c r="F33" i="23"/>
  <c r="F35" i="23" s="1"/>
  <c r="L32" i="23" s="1"/>
  <c r="F30" i="23"/>
  <c r="L7" i="34"/>
  <c r="E11" i="35" s="1"/>
  <c r="F11" i="35" s="1"/>
  <c r="D15" i="34"/>
  <c r="E22" i="35" s="1"/>
  <c r="F22" i="35" s="1"/>
  <c r="F15" i="34"/>
  <c r="E24" i="35" s="1"/>
  <c r="F24" i="35" s="1"/>
  <c r="D28" i="35"/>
  <c r="E15" i="34"/>
  <c r="E23" i="35" s="1"/>
  <c r="F23" i="35" s="1"/>
  <c r="J15" i="34"/>
  <c r="E28" i="35" s="1"/>
  <c r="F28" i="35" s="1"/>
  <c r="G15" i="34"/>
  <c r="E25" i="35" s="1"/>
  <c r="F25" i="35" s="1"/>
  <c r="H15" i="34"/>
  <c r="E26" i="35" s="1"/>
  <c r="F26" i="35" s="1"/>
  <c r="I15" i="34"/>
  <c r="E27" i="35" s="1"/>
  <c r="F27" i="35" s="1"/>
  <c r="D17" i="35"/>
  <c r="L13" i="34"/>
  <c r="E17" i="35" s="1"/>
  <c r="F17" i="35" s="1"/>
  <c r="G17" i="35" s="1"/>
  <c r="D10" i="35"/>
  <c r="L8" i="34"/>
  <c r="E12" i="35" s="1"/>
  <c r="F12" i="35" s="1"/>
  <c r="L12" i="34"/>
  <c r="E16" i="35" s="1"/>
  <c r="F16" i="35" s="1"/>
  <c r="G16" i="35" s="1"/>
  <c r="L9" i="34"/>
  <c r="E13" i="35" s="1"/>
  <c r="F13" i="35" s="1"/>
  <c r="G13" i="35" s="1"/>
  <c r="L10" i="34"/>
  <c r="E14" i="35" s="1"/>
  <c r="F14" i="35" s="1"/>
  <c r="G14" i="35" s="1"/>
  <c r="L5" i="34"/>
  <c r="E9" i="35" s="1"/>
  <c r="F9" i="35" s="1"/>
  <c r="G9" i="35" s="1"/>
  <c r="L6" i="34"/>
  <c r="E10" i="35" s="1"/>
  <c r="F10" i="35" s="1"/>
  <c r="G10" i="35" s="1"/>
  <c r="L11" i="34"/>
  <c r="E15" i="35" s="1"/>
  <c r="F15" i="35" s="1"/>
  <c r="G15" i="35" s="1"/>
  <c r="F32" i="23" l="1"/>
  <c r="L31" i="23"/>
  <c r="L33" i="23" s="1"/>
  <c r="C19" i="1" s="1"/>
  <c r="D49" i="46" s="1"/>
  <c r="V23" i="1"/>
  <c r="X23" i="1" s="1"/>
  <c r="X21" i="1"/>
  <c r="T37" i="1"/>
  <c r="T35" i="1"/>
  <c r="T66" i="2"/>
  <c r="C12" i="1"/>
  <c r="D48" i="46" s="1"/>
  <c r="G25" i="35"/>
  <c r="I25" i="35"/>
  <c r="J25" i="35" s="1"/>
  <c r="N25" i="35" s="1"/>
  <c r="I24" i="35"/>
  <c r="J24" i="35" s="1"/>
  <c r="N24" i="35" s="1"/>
  <c r="G24" i="35"/>
  <c r="I28" i="35"/>
  <c r="J28" i="35" s="1"/>
  <c r="G28" i="35"/>
  <c r="I22" i="35"/>
  <c r="J22" i="35" s="1"/>
  <c r="N22" i="35" s="1"/>
  <c r="G22" i="35"/>
  <c r="G27" i="35"/>
  <c r="I27" i="35"/>
  <c r="J27" i="35" s="1"/>
  <c r="N27" i="35" s="1"/>
  <c r="G23" i="35"/>
  <c r="I23" i="35"/>
  <c r="J23" i="35" s="1"/>
  <c r="G26" i="35"/>
  <c r="I26" i="35"/>
  <c r="J26" i="35" s="1"/>
  <c r="N26" i="35" s="1"/>
  <c r="T38" i="1" l="1"/>
  <c r="K34" i="23"/>
  <c r="N29" i="35"/>
  <c r="N23" i="35"/>
  <c r="N30" i="35"/>
  <c r="N28" i="35"/>
  <c r="C18" i="1" l="1"/>
  <c r="T58" i="1"/>
  <c r="T39" i="1"/>
  <c r="P22" i="35"/>
  <c r="Q30" i="35" s="1"/>
  <c r="Q23" i="35" l="1"/>
  <c r="K16" i="1" s="1"/>
  <c r="G16" i="46" s="1"/>
  <c r="Q26" i="35"/>
  <c r="Q29" i="35"/>
  <c r="K26" i="1" s="1"/>
  <c r="G26" i="46" s="1"/>
  <c r="Q25" i="35"/>
  <c r="K17" i="1" s="1"/>
  <c r="Q22" i="35"/>
  <c r="Q28" i="35"/>
  <c r="K49" i="1" s="1"/>
  <c r="G42" i="46" s="1"/>
  <c r="Q27" i="35"/>
  <c r="K50" i="1" s="1"/>
  <c r="G43" i="46" s="1"/>
  <c r="Q24" i="35"/>
  <c r="K48" i="1" s="1"/>
  <c r="G41" i="46" s="1"/>
  <c r="K25" i="1"/>
  <c r="G25" i="46" s="1"/>
  <c r="K24" i="1"/>
  <c r="G24" i="46" s="1"/>
  <c r="G17" i="46" l="1"/>
  <c r="K15" i="1"/>
  <c r="G15" i="46" s="1"/>
  <c r="K29" i="1"/>
  <c r="G29" i="46" s="1"/>
  <c r="K19" i="1"/>
  <c r="G19" i="46" s="1"/>
  <c r="K22" i="1"/>
  <c r="G22" i="46" s="1"/>
  <c r="K18" i="1"/>
  <c r="G18" i="46" s="1"/>
  <c r="K20" i="1"/>
  <c r="G20" i="46" s="1"/>
  <c r="K32" i="1"/>
  <c r="G32" i="46" s="1"/>
  <c r="R22" i="35"/>
</calcChain>
</file>

<file path=xl/sharedStrings.xml><?xml version="1.0" encoding="utf-8"?>
<sst xmlns="http://schemas.openxmlformats.org/spreadsheetml/2006/main" count="1625" uniqueCount="457">
  <si>
    <t>GCA</t>
  </si>
  <si>
    <t>VO 2017</t>
  </si>
  <si>
    <t>Referenz</t>
  </si>
  <si>
    <t>FZK Entry Baumgarten</t>
  </si>
  <si>
    <t>§3 (2) 1.</t>
  </si>
  <si>
    <t>FZK Entry Oberkappel</t>
  </si>
  <si>
    <t>§3 (2) 2.</t>
  </si>
  <si>
    <t>FZK Entry Überackern</t>
  </si>
  <si>
    <t>§3 (2) 3.</t>
  </si>
  <si>
    <t>FZK Entry Moson</t>
  </si>
  <si>
    <t>§3 (2) 5.</t>
  </si>
  <si>
    <t>FZK Entry Murfeld</t>
  </si>
  <si>
    <t>§3 (2) 6.</t>
  </si>
  <si>
    <t>FZK Entry Petrzalka</t>
  </si>
  <si>
    <t>§3 (2) 7.</t>
  </si>
  <si>
    <t>FZK Exit Baumgarten</t>
  </si>
  <si>
    <t>§3 (3) 1.</t>
  </si>
  <si>
    <t>FZK Exit Oberkappel</t>
  </si>
  <si>
    <t>§3 (3) 2.</t>
  </si>
  <si>
    <t>FZK Exit Murfeld</t>
  </si>
  <si>
    <t>§ 3(3) 4.</t>
  </si>
  <si>
    <t>FZK Exit Moson</t>
  </si>
  <si>
    <t>§ 3(3) 5.</t>
  </si>
  <si>
    <t>FZK Exit Petrz.</t>
  </si>
  <si>
    <t>§ 3(3) 6.</t>
  </si>
  <si>
    <t>FZK Exit Verteilergebiet</t>
  </si>
  <si>
    <t>§ 3(3) 7.</t>
  </si>
  <si>
    <t>FZK Entry Verteilergebiet</t>
  </si>
  <si>
    <t>FZK Exit Überackern</t>
  </si>
  <si>
    <t>§ 3(3) 8.</t>
  </si>
  <si>
    <t>DZK Entry ÜA (OK)</t>
  </si>
  <si>
    <t>§3 (5) 7.</t>
  </si>
  <si>
    <t>DZK Exit Verteilergebiet (Bmg)</t>
  </si>
  <si>
    <t>§3 (6) 1.</t>
  </si>
  <si>
    <t>DZK Exit Verteilergebiet (OK)</t>
  </si>
  <si>
    <t>§3 (6) 2.</t>
  </si>
  <si>
    <t>DZK Exit ÜA (OK)</t>
  </si>
  <si>
    <t>§3 (6) 4.</t>
  </si>
  <si>
    <t>ÜA Sudal (ÜA ABG)</t>
  </si>
  <si>
    <t>§3 (8) 1.</t>
  </si>
  <si>
    <t>ÜA ABG (ÜA Sudal)</t>
  </si>
  <si>
    <t>§3 (8) 2.</t>
  </si>
  <si>
    <t>Exit Speicher 7-fields</t>
  </si>
  <si>
    <t>§4 (2) 1.</t>
  </si>
  <si>
    <t>Entry Speicher 7-fields</t>
  </si>
  <si>
    <t>Entry Speicher MAB</t>
  </si>
  <si>
    <t>Exit Speicher MAB</t>
  </si>
  <si>
    <t>§4 (2) 2.</t>
  </si>
  <si>
    <t>TAG</t>
  </si>
  <si>
    <t>FZK Entry Arnoldstein</t>
  </si>
  <si>
    <t>§3 (2) 4.</t>
  </si>
  <si>
    <t>FZK Exit Arnoldstein</t>
  </si>
  <si>
    <t>§3 (3) 3.</t>
  </si>
  <si>
    <t>FZK Exit VG-Kärnten</t>
  </si>
  <si>
    <t>§ 3(3) 8. (NEU!?)</t>
  </si>
  <si>
    <t>DZK Entry Arnoldstein (VNB)</t>
  </si>
  <si>
    <t>§ 3(5) 6.</t>
  </si>
  <si>
    <t xml:space="preserve">Tariff calculation </t>
  </si>
  <si>
    <t>DZK discount</t>
  </si>
  <si>
    <t>Conversion GCV</t>
  </si>
  <si>
    <t>Total costs MG Ost</t>
  </si>
  <si>
    <t>€</t>
  </si>
  <si>
    <t>PID</t>
  </si>
  <si>
    <t>Name</t>
  </si>
  <si>
    <t>Cluster</t>
  </si>
  <si>
    <t>Capacity share (weight)</t>
  </si>
  <si>
    <t>Capacity-weighted distance</t>
  </si>
  <si>
    <t>Reference volumes FZK</t>
  </si>
  <si>
    <t>Reference volumes DZK</t>
  </si>
  <si>
    <t>Cluster distance-ratio to P1</t>
  </si>
  <si>
    <t>Arnoldstein</t>
  </si>
  <si>
    <t>Entry</t>
  </si>
  <si>
    <t>Baumgarten</t>
  </si>
  <si>
    <t>Oberkappel</t>
  </si>
  <si>
    <t>Überackern</t>
  </si>
  <si>
    <t>Storage MAB</t>
  </si>
  <si>
    <t>Calculation of entry cluster tariffs</t>
  </si>
  <si>
    <t>Cluster Distance</t>
  </si>
  <si>
    <t>Distance-ratio to P1</t>
  </si>
  <si>
    <t>TSO</t>
  </si>
  <si>
    <t>Direction</t>
  </si>
  <si>
    <t>Type</t>
  </si>
  <si>
    <t>Point</t>
  </si>
  <si>
    <t>Exit</t>
  </si>
  <si>
    <t>FZK</t>
  </si>
  <si>
    <t>DZK</t>
  </si>
  <si>
    <t>other</t>
  </si>
  <si>
    <t>Murfeld</t>
  </si>
  <si>
    <t>Petrzalka</t>
  </si>
  <si>
    <t>Verteilergebiet</t>
  </si>
  <si>
    <t>VG-Kärnten</t>
  </si>
  <si>
    <t>Exit East</t>
  </si>
  <si>
    <t>Exit West</t>
  </si>
  <si>
    <t>Exit Murfeld</t>
  </si>
  <si>
    <t>Exit VG1</t>
  </si>
  <si>
    <t>-</t>
  </si>
  <si>
    <t>Exit Storage</t>
  </si>
  <si>
    <t>Exit Arnoldstein</t>
  </si>
  <si>
    <t>Exit VG-Kärnten</t>
  </si>
  <si>
    <t>Entry MG Ost</t>
  </si>
  <si>
    <t>Total relevant capacity (TVK)</t>
  </si>
  <si>
    <t>kWh/h</t>
  </si>
  <si>
    <t>km</t>
  </si>
  <si>
    <t>DZK
 weight</t>
  </si>
  <si>
    <t>Cluster Tariff FZK entry</t>
  </si>
  <si>
    <t>Cluster Tariff DZK entry</t>
  </si>
  <si>
    <t>Costs to be recovered from entry</t>
  </si>
  <si>
    <t>Base tariff entry</t>
  </si>
  <si>
    <t>Rescaling factor</t>
  </si>
  <si>
    <t>Cluster Distance-ratio to P1</t>
  </si>
  <si>
    <t>Mosonmagyarovar</t>
  </si>
  <si>
    <t>Auersthal</t>
  </si>
  <si>
    <t>Kirchberg</t>
  </si>
  <si>
    <t>Gr. Göttfritz</t>
  </si>
  <si>
    <t>Rainbach</t>
  </si>
  <si>
    <t>Bad Leonfelden</t>
  </si>
  <si>
    <t>Arnreith</t>
  </si>
  <si>
    <t>Baumgarten-PVS2</t>
  </si>
  <si>
    <t>Eggendorf</t>
  </si>
  <si>
    <t>Grafendorf</t>
  </si>
  <si>
    <t>St. Margarethen</t>
  </si>
  <si>
    <t>Weitendorf</t>
  </si>
  <si>
    <t>Sulmeck-Greith</t>
  </si>
  <si>
    <t>Ettendorf</t>
  </si>
  <si>
    <t>Waisenberg</t>
  </si>
  <si>
    <t>Ebenthal</t>
  </si>
  <si>
    <t>Finkenstein</t>
  </si>
  <si>
    <t>Calculation of exit tariffs</t>
  </si>
  <si>
    <t>kWh</t>
  </si>
  <si>
    <t>Calculation of exit cluster tariffs</t>
  </si>
  <si>
    <t>Calculation of entry tariffs</t>
  </si>
  <si>
    <t>Costs to be recovered from exit</t>
  </si>
  <si>
    <t>Base tariff exit</t>
  </si>
  <si>
    <t>Correction factor FZK entry</t>
  </si>
  <si>
    <t>Correction factor DZK entry</t>
  </si>
  <si>
    <t>Storage discount entry</t>
  </si>
  <si>
    <t>Storage discount exit</t>
  </si>
  <si>
    <t>Cluster name</t>
  </si>
  <si>
    <t>Pipeline distance (BMGT)</t>
  </si>
  <si>
    <t>Storage 7-fields</t>
  </si>
  <si>
    <t>EUR/kWh/h/a</t>
  </si>
  <si>
    <t>1000 Nm³/h/a</t>
  </si>
  <si>
    <t>Total</t>
  </si>
  <si>
    <t>TEUR</t>
  </si>
  <si>
    <t>TSO overview</t>
  </si>
  <si>
    <t>EUR/kWh/h</t>
  </si>
  <si>
    <t>Distances to reference node BMGT</t>
  </si>
  <si>
    <t>Technical capacity (TVK)</t>
  </si>
  <si>
    <t>Total cost base</t>
  </si>
  <si>
    <t>Total planned tariff revenues TEUR</t>
  </si>
  <si>
    <t>Planned over-/underrecovery after ITCs</t>
  </si>
  <si>
    <t>capacity-</t>
  </si>
  <si>
    <t>change</t>
  </si>
  <si>
    <t>prelim.</t>
  </si>
  <si>
    <t>Reference</t>
  </si>
  <si>
    <t>volumes</t>
  </si>
  <si>
    <t>1.000 Nm³/h</t>
  </si>
  <si>
    <t>Revenues</t>
  </si>
  <si>
    <t>Tariff element</t>
  </si>
  <si>
    <t>Summary overview</t>
  </si>
  <si>
    <t>Parametrization</t>
  </si>
  <si>
    <t>kWh/h/a</t>
  </si>
  <si>
    <t>Change</t>
  </si>
  <si>
    <t>Reference volumes</t>
  </si>
  <si>
    <t>n.a.</t>
  </si>
  <si>
    <r>
      <rPr>
        <b/>
        <u/>
        <sz val="11"/>
        <color theme="1"/>
        <rFont val="Calibri"/>
        <family val="2"/>
        <scheme val="minor"/>
      </rPr>
      <t>Forecast</t>
    </r>
    <r>
      <rPr>
        <b/>
        <sz val="11"/>
        <color theme="1"/>
        <rFont val="Calibri"/>
        <family val="2"/>
        <scheme val="minor"/>
      </rPr>
      <t xml:space="preserve"> volumes FZK</t>
    </r>
  </si>
  <si>
    <r>
      <rPr>
        <b/>
        <u/>
        <sz val="11"/>
        <color theme="1"/>
        <rFont val="Calibri"/>
        <family val="2"/>
        <scheme val="minor"/>
      </rPr>
      <t>Forecast</t>
    </r>
    <r>
      <rPr>
        <b/>
        <sz val="11"/>
        <color theme="1"/>
        <rFont val="Calibri"/>
        <family val="2"/>
        <scheme val="minor"/>
      </rPr>
      <t xml:space="preserve"> volumes DZK</t>
    </r>
  </si>
  <si>
    <t>Delta</t>
  </si>
  <si>
    <t>Customer perspectives:</t>
  </si>
  <si>
    <t>2017 costs</t>
  </si>
  <si>
    <t>Verteilergebiet Exit (GCA+TAG)</t>
  </si>
  <si>
    <t>Entry BMGT = Exit ARNO</t>
  </si>
  <si>
    <t>Entry BMGT = Exit OKAP</t>
  </si>
  <si>
    <t>N→S transits (avg.)</t>
  </si>
  <si>
    <t>E→W transits (avg.)</t>
  </si>
  <si>
    <t>W→E transits (avg.)</t>
  </si>
  <si>
    <t>Entry OKAP = Exit BMGT</t>
  </si>
  <si>
    <t>Net position = ITC (positive=receiving)</t>
  </si>
  <si>
    <t>Uberackern</t>
  </si>
  <si>
    <t>Driver for each Entry (Intra-Use)</t>
  </si>
  <si>
    <t>Driver for each Entry (Cross-Use)</t>
  </si>
  <si>
    <t>Exit revenues from Intra</t>
  </si>
  <si>
    <t>Exit revenues from Cross</t>
  </si>
  <si>
    <t>Revenue for Intra</t>
  </si>
  <si>
    <t>Revenue for Cross</t>
  </si>
  <si>
    <t>Cost driver for Entry Intra</t>
  </si>
  <si>
    <t>Cost driver for Exit Intra</t>
  </si>
  <si>
    <t>Cost driver for Intra</t>
  </si>
  <si>
    <t>Ratio intra</t>
  </si>
  <si>
    <t>Cost driver for Entry Cross</t>
  </si>
  <si>
    <t>Ratio cross</t>
  </si>
  <si>
    <t>Cost driver for Exit Cross</t>
  </si>
  <si>
    <t>Cost driver for Cross</t>
  </si>
  <si>
    <t>MWh/h</t>
  </si>
  <si>
    <t>MWh/h*km</t>
  </si>
  <si>
    <t>TEST results</t>
  </si>
  <si>
    <t>CAA capacity</t>
  </si>
  <si>
    <t>Entry revenues dedicated to Intra</t>
  </si>
  <si>
    <t>Entry revenues dedicated to Cross</t>
  </si>
  <si>
    <t>Entry tariff</t>
  </si>
  <si>
    <t>Entry capacity (Intra-Use)</t>
  </si>
  <si>
    <t>Entry capacity (Cross-Use)</t>
  </si>
  <si>
    <t>Weighted distance for each entry point to intra exits</t>
  </si>
  <si>
    <t>Weighted distance (km) for each exit point to the group of entry points</t>
  </si>
  <si>
    <t xml:space="preserve"> Weighted distance for each entry point to cross exits</t>
  </si>
  <si>
    <t>EUR/(km*MWh/h)</t>
  </si>
  <si>
    <t>CAA cap.</t>
  </si>
  <si>
    <t>EUR/MWh</t>
  </si>
  <si>
    <r>
      <t xml:space="preserve">Total </t>
    </r>
    <r>
      <rPr>
        <u/>
        <sz val="11"/>
        <color theme="0"/>
        <rFont val="Calibri"/>
        <family val="2"/>
        <scheme val="minor"/>
      </rPr>
      <t>forecasted</t>
    </r>
    <r>
      <rPr>
        <sz val="11"/>
        <color theme="0"/>
        <rFont val="Calibri"/>
        <family val="2"/>
        <scheme val="minor"/>
      </rPr>
      <t xml:space="preserve"> entry cap.</t>
    </r>
  </si>
  <si>
    <r>
      <t xml:space="preserve">Total </t>
    </r>
    <r>
      <rPr>
        <u/>
        <sz val="11"/>
        <color theme="0"/>
        <rFont val="Calibri"/>
        <family val="2"/>
        <scheme val="minor"/>
      </rPr>
      <t>forecasted</t>
    </r>
    <r>
      <rPr>
        <sz val="11"/>
        <color theme="0"/>
        <rFont val="Calibri"/>
        <family val="2"/>
        <scheme val="minor"/>
      </rPr>
      <t xml:space="preserve"> exit cap. MWh/h</t>
    </r>
  </si>
  <si>
    <t>Reference node Baumgarten</t>
  </si>
  <si>
    <t>Entry Arnoldstein DZK</t>
  </si>
  <si>
    <t>Entry Baumgarten</t>
  </si>
  <si>
    <t>Entry Oberkappel</t>
  </si>
  <si>
    <t>Entry Überackern</t>
  </si>
  <si>
    <t>x</t>
  </si>
  <si>
    <t>Auersthal DZK</t>
  </si>
  <si>
    <t>Storage 7F</t>
  </si>
  <si>
    <t>Bad Leonfelden DZK</t>
  </si>
  <si>
    <t>Exit point</t>
  </si>
  <si>
    <t>Distance in km</t>
  </si>
  <si>
    <r>
      <rPr>
        <i/>
        <u/>
        <sz val="11"/>
        <rFont val="Calibri"/>
        <family val="2"/>
        <scheme val="minor"/>
      </rPr>
      <t>Forecasted</t>
    </r>
    <r>
      <rPr>
        <i/>
        <sz val="11"/>
        <rFont val="Calibri"/>
        <family val="2"/>
        <scheme val="minor"/>
      </rPr>
      <t xml:space="preserve"> annual marketed capacities and capacity-based tariffs</t>
    </r>
  </si>
  <si>
    <t>Cross</t>
  </si>
  <si>
    <t>Intra</t>
  </si>
  <si>
    <t>Classification:</t>
  </si>
  <si>
    <t>Entry Murfeld</t>
  </si>
  <si>
    <t>non-automated input formula</t>
  </si>
  <si>
    <t>Exit tariff EUR/kWh/h</t>
  </si>
  <si>
    <t>Driver for Exit Points</t>
  </si>
  <si>
    <t>CWD</t>
  </si>
  <si>
    <t>tariff</t>
  </si>
  <si>
    <t>Correction factor FZK exit</t>
  </si>
  <si>
    <t>Correction factor DZK exit</t>
  </si>
  <si>
    <t>Cluster Tariff FZK exit</t>
  </si>
  <si>
    <t>Cluster Tariff DZK exit</t>
  </si>
  <si>
    <t>Allowed capacity revenue (Mio. €)</t>
  </si>
  <si>
    <t>Entry-Exit split</t>
  </si>
  <si>
    <t>Discount DZK</t>
  </si>
  <si>
    <t>Capacity-weighted average distance from all entry points ↓</t>
  </si>
  <si>
    <t>Weight ↓</t>
  </si>
  <si>
    <t>Distance (km)</t>
  </si>
  <si>
    <t>Forecasted booked
capacity (kWh/h/a) ↓→</t>
  </si>
  <si>
    <t>Capacity-weighted average distance to all exit points→</t>
  </si>
  <si>
    <t>Weight →</t>
  </si>
  <si>
    <t>Forecasted booked
capacity (kWh/h/a)</t>
  </si>
  <si>
    <t>Capacity-weighted average distance to all exit points</t>
  </si>
  <si>
    <t>Weight</t>
  </si>
  <si>
    <t xml:space="preserve"> Share of revenue cap (Mio. €)</t>
  </si>
  <si>
    <t>Tariff (€/kWh/h)</t>
  </si>
  <si>
    <t>Cluster (Aggregate of FZK and DZK)</t>
  </si>
  <si>
    <t>Share of revenue cap  per cluster (Mio. € )</t>
  </si>
  <si>
    <t>Tariff per cluster (€/kWh/h)</t>
  </si>
  <si>
    <t>Discount</t>
  </si>
  <si>
    <t>Adjusted tariff (€/kWh/h)</t>
  </si>
  <si>
    <t>Revenue with adjusted tariffs (Mio. € )</t>
  </si>
  <si>
    <t>Rescaled tariff (€/kWh/h)</t>
  </si>
  <si>
    <t>Revenue with rescaled tariffs
(Mio. € )</t>
  </si>
  <si>
    <t>Exit West DZK</t>
  </si>
  <si>
    <t>Theor. tariff FZK</t>
  </si>
  <si>
    <t>Theor. tariff DZK</t>
  </si>
  <si>
    <t>FZK tariff capped?</t>
  </si>
  <si>
    <t>DZK tariff capped?</t>
  </si>
  <si>
    <t>revenues:</t>
  </si>
  <si>
    <t>Capped unscaled tariff FZK</t>
  </si>
  <si>
    <t>Capped unscaled tariff DZK</t>
  </si>
  <si>
    <t>Initial global rescaling factor</t>
  </si>
  <si>
    <t>FZK cap exceeded new?</t>
  </si>
  <si>
    <t>DZK cap exceeded new?</t>
  </si>
  <si>
    <t>Max. tariff increase</t>
  </si>
  <si>
    <t>total underecovery due to cap before rescaling</t>
  </si>
  <si>
    <t>ITC GCA-&gt;TAG €</t>
  </si>
  <si>
    <t>BMGT→Moso</t>
  </si>
  <si>
    <t>BMGT→Murfeld</t>
  </si>
  <si>
    <t>Eff. E/X split: entry share</t>
  </si>
  <si>
    <t>eff. E/X split:</t>
  </si>
  <si>
    <t>Exit VG WAG</t>
  </si>
  <si>
    <t>Exit VG TAG</t>
  </si>
  <si>
    <t>VG WAG</t>
  </si>
  <si>
    <t>VG TAG</t>
  </si>
  <si>
    <t>*yearly firm capacity</t>
  </si>
  <si>
    <t>Sum</t>
  </si>
  <si>
    <t>ENTSOG TP data</t>
  </si>
  <si>
    <t>not relevant (uniform entry tariff)</t>
  </si>
  <si>
    <t>CR</t>
  </si>
  <si>
    <t>Rogatec</t>
  </si>
  <si>
    <t>SI consultation Document (2020)</t>
  </si>
  <si>
    <t>SI</t>
  </si>
  <si>
    <t>Cersak</t>
  </si>
  <si>
    <t>AT</t>
  </si>
  <si>
    <t>Source</t>
  </si>
  <si>
    <t>Total cost [Euro/(kWh/h)/a]</t>
  </si>
  <si>
    <t>Commodity tariff* [Euro/(kWh/h)]</t>
  </si>
  <si>
    <t>Capacity tariff* [Euro/(kWh/h)/a]</t>
  </si>
  <si>
    <t>Capacity tariff* [Euro/(kWh)/d]</t>
  </si>
  <si>
    <t>Capacity tariff* [Euro/(kWh/h)/d]</t>
  </si>
  <si>
    <t>Utilisation</t>
  </si>
  <si>
    <t>Country</t>
  </si>
  <si>
    <t>Option 2</t>
  </si>
  <si>
    <t>Dravaszerdahely</t>
  </si>
  <si>
    <t>FGSZ data for GY 2018</t>
  </si>
  <si>
    <t>HU</t>
  </si>
  <si>
    <t>Tariff model AT</t>
  </si>
  <si>
    <t>Option 1</t>
  </si>
  <si>
    <t>difference Moso/Murfeld</t>
  </si>
  <si>
    <t>[kWh]</t>
  </si>
  <si>
    <t>[Euro/kWh]</t>
  </si>
  <si>
    <t>[Euro/MWh]</t>
  </si>
  <si>
    <t>[Euro]</t>
  </si>
  <si>
    <t>Qm</t>
  </si>
  <si>
    <t>Factor</t>
  </si>
  <si>
    <t>Gas price</t>
  </si>
  <si>
    <t>Commodity revenue</t>
  </si>
  <si>
    <t>Commodity Charge</t>
  </si>
  <si>
    <t>Commidity charge  calculation for Slovenia</t>
  </si>
  <si>
    <t>Quelle: Veröffentlichte Tarife FGSZ Website 02.10.2018</t>
  </si>
  <si>
    <t>Tarifsenkung im Vergleich zu GY 2016</t>
  </si>
  <si>
    <t>Entry HU @ Moso &amp; Exit HU @ Drava</t>
  </si>
  <si>
    <t>Balassagyarmat / Velké Zlievce exit point (HU&gt;SK)</t>
  </si>
  <si>
    <t>Csanádpalota exit point (HU&gt;RO)</t>
  </si>
  <si>
    <t>Beregdaróc 800 exit point (HU&gt;UA)</t>
  </si>
  <si>
    <t>Drávaszerdahely exit point (HU&gt;CR)</t>
  </si>
  <si>
    <t>Kiskundorozsma exit point (HU&gt;RS)</t>
  </si>
  <si>
    <t>Storage exit point</t>
  </si>
  <si>
    <t>Blending exit point</t>
  </si>
  <si>
    <t>Domestic exit points</t>
  </si>
  <si>
    <t>Exit points</t>
  </si>
  <si>
    <t>Balassagyarmat / Velké Zlievce entry point (SK&gt;HU)</t>
  </si>
  <si>
    <t>Csanádpalota entry point (RO&gt;HU)</t>
  </si>
  <si>
    <t>Beregdaróc 1400 entry point (UA&gt;HU)</t>
  </si>
  <si>
    <t>Mosonmagyaróvár entry point (AU&gt;HU)</t>
  </si>
  <si>
    <t>Drávaszerdahely entry point (CR&gt;HU)</t>
  </si>
  <si>
    <t>Storage entry point</t>
  </si>
  <si>
    <t>Domestic production entry point</t>
  </si>
  <si>
    <t>Volume fee GY 2018</t>
  </si>
  <si>
    <t>Volume fee GY 2017</t>
  </si>
  <si>
    <t>Volume fee GY 2016</t>
  </si>
  <si>
    <r>
      <t xml:space="preserve">Capacity fee GY </t>
    </r>
    <r>
      <rPr>
        <i/>
        <sz val="11"/>
        <color rgb="FFFF0000"/>
        <rFont val="Calibri"/>
        <family val="2"/>
        <scheme val="minor"/>
      </rPr>
      <t>2018</t>
    </r>
  </si>
  <si>
    <r>
      <t xml:space="preserve">Capacity fee GY </t>
    </r>
    <r>
      <rPr>
        <i/>
        <sz val="11"/>
        <color rgb="FFFF0000"/>
        <rFont val="Calibri"/>
        <family val="2"/>
        <scheme val="minor"/>
      </rPr>
      <t>2017</t>
    </r>
  </si>
  <si>
    <r>
      <t xml:space="preserve">Capacity fee GY </t>
    </r>
    <r>
      <rPr>
        <i/>
        <sz val="11"/>
        <color rgb="FFFF0000"/>
        <rFont val="Calibri"/>
        <family val="2"/>
        <scheme val="minor"/>
      </rPr>
      <t>2016</t>
    </r>
  </si>
  <si>
    <t>Entry points</t>
  </si>
  <si>
    <t>EUR/(kWh/h)/year</t>
  </si>
  <si>
    <t>per</t>
  </si>
  <si>
    <t>1 EUR = HUF</t>
  </si>
  <si>
    <t>Währungsrechner / Umrechnung in EUR</t>
  </si>
  <si>
    <t>Csanádpalota (Horia) entry point (RO&gt;HU)</t>
  </si>
  <si>
    <r>
      <t xml:space="preserve">Capacity fee GY </t>
    </r>
    <r>
      <rPr>
        <sz val="11"/>
        <color rgb="FFFF0000"/>
        <rFont val="Calibri"/>
        <family val="2"/>
        <scheme val="minor"/>
      </rPr>
      <t>2018</t>
    </r>
  </si>
  <si>
    <r>
      <t xml:space="preserve">Capacity fee GY </t>
    </r>
    <r>
      <rPr>
        <sz val="11"/>
        <color rgb="FFFF0000"/>
        <rFont val="Calibri"/>
        <family val="2"/>
        <scheme val="minor"/>
      </rPr>
      <t>2017</t>
    </r>
  </si>
  <si>
    <r>
      <t xml:space="preserve">Capacity fee GY </t>
    </r>
    <r>
      <rPr>
        <sz val="11"/>
        <color rgb="FFFF0000"/>
        <rFont val="Calibri"/>
        <family val="2"/>
        <scheme val="minor"/>
      </rPr>
      <t>2016</t>
    </r>
  </si>
  <si>
    <t>HUF/MWh</t>
  </si>
  <si>
    <t>HUF/(kWh/h)/year</t>
  </si>
  <si>
    <t>Forecasted</t>
  </si>
  <si>
    <t>bookings</t>
  </si>
  <si>
    <t>Revenues projected on reference bookings</t>
  </si>
  <si>
    <t xml:space="preserve">ICT-Comp. </t>
  </si>
  <si>
    <t>ICT-Comp.</t>
  </si>
  <si>
    <t>NICT-Comp.</t>
  </si>
  <si>
    <t xml:space="preserve">NICT-Comp. </t>
  </si>
  <si>
    <t>Revenues ICT</t>
  </si>
  <si>
    <t>Revenues NICT</t>
  </si>
  <si>
    <t>Over-/underrecovery of ICT</t>
  </si>
  <si>
    <t>Over-/underrecovery of NITC</t>
  </si>
  <si>
    <t xml:space="preserve">ICT FZK </t>
  </si>
  <si>
    <t>ICT DZK</t>
  </si>
  <si>
    <t>Rescaling non-permissible</t>
  </si>
  <si>
    <t>First rescaling</t>
  </si>
  <si>
    <t>Recapped rescaled tariff FZK</t>
  </si>
  <si>
    <t>Recapped rescaled tariff DZK</t>
  </si>
  <si>
    <t xml:space="preserve">Adjusted NICT FZK </t>
  </si>
  <si>
    <t xml:space="preserve">Adjusted NICT DZK </t>
  </si>
  <si>
    <t>Total NIC</t>
  </si>
  <si>
    <t>GCA total costs €</t>
  </si>
  <si>
    <t>GCA non-influenceable costs €</t>
  </si>
  <si>
    <t>GCA influenceable costs €</t>
  </si>
  <si>
    <t>TAG total costs €</t>
  </si>
  <si>
    <t>TAG non-influenceable costs €</t>
  </si>
  <si>
    <t>TAG influenceable costs €</t>
  </si>
  <si>
    <t>Discount storage entry</t>
  </si>
  <si>
    <t>Discount storage exit</t>
  </si>
  <si>
    <t>Entry cluster storage</t>
  </si>
  <si>
    <t>Exit VG1 DZK</t>
  </si>
  <si>
    <t>Entry cluster</t>
  </si>
  <si>
    <t>absolute</t>
  </si>
  <si>
    <t>difference</t>
  </si>
  <si>
    <t>relative</t>
  </si>
  <si>
    <t>Total costs to be recovered from entry</t>
  </si>
  <si>
    <t>Influenceable costs to be recovered from entry</t>
  </si>
  <si>
    <t>Total costs to be recovered from exit</t>
  </si>
  <si>
    <t>Influenceable costs to be recovered from exit</t>
  </si>
  <si>
    <t>Modified pipeline distance (BMGT)</t>
  </si>
  <si>
    <t>Total NICT revenues using reference volumes</t>
  </si>
  <si>
    <t>NICT revenues using reference volumes FZK</t>
  </si>
  <si>
    <t>NICT revenues using reference volumes DZK</t>
  </si>
  <si>
    <t>NIC subject to capacity tariffs</t>
  </si>
  <si>
    <t>based tariff</t>
  </si>
  <si>
    <t>Allowed costs (TEUR)</t>
  </si>
  <si>
    <t>GCA allowed costs €</t>
  </si>
  <si>
    <t>TAG allowed costs €</t>
  </si>
  <si>
    <t>Base tariff exit (influenceable part)</t>
  </si>
  <si>
    <t>Base tariff entry (influenceable part)</t>
  </si>
  <si>
    <t>Tariff calculation for the NICT part</t>
  </si>
  <si>
    <t>Percent NICT-Component GCA Punkte</t>
  </si>
  <si>
    <t>Percent NICT-Component TAG Punkte</t>
  </si>
  <si>
    <t>Costs subject to ICT (influenceable)</t>
  </si>
  <si>
    <t>E/X-Split before adjustments: Entry share</t>
  </si>
  <si>
    <t>Relevant technical capacity (TVK)</t>
  </si>
  <si>
    <t>Current tariff</t>
  </si>
  <si>
    <t>period revenues</t>
  </si>
  <si>
    <t>Next tariff</t>
  </si>
  <si>
    <t>FZK tariff VO 2017</t>
  </si>
  <si>
    <t>DZK tariff VO 2017</t>
  </si>
  <si>
    <t>FZK tariff 2017</t>
  </si>
  <si>
    <r>
      <t xml:space="preserve">Forecasted bookings next tariff period </t>
    </r>
    <r>
      <rPr>
        <sz val="11"/>
        <color theme="0"/>
        <rFont val="Calibri"/>
        <family val="2"/>
      </rPr>
      <t>↓→</t>
    </r>
  </si>
  <si>
    <t>Forecasted bookings next tariff period</t>
  </si>
  <si>
    <t>Forecasted reference volumes</t>
  </si>
  <si>
    <t>Tariffs current tariff VO 2017</t>
  </si>
  <si>
    <t>Intra-/cross syst. split: intra share</t>
  </si>
  <si>
    <t>Benchmark tariff Murf. €/kWh/h</t>
  </si>
  <si>
    <t>2019 costs</t>
  </si>
  <si>
    <t>Correction factor FZK</t>
  </si>
  <si>
    <t>Rescaling step 1</t>
  </si>
  <si>
    <t>Rescaling step 2</t>
  </si>
  <si>
    <t>Rescaling step 3</t>
  </si>
  <si>
    <t>Rescaled tariff FZK</t>
  </si>
  <si>
    <t>Rescaled tariff DZK</t>
  </si>
  <si>
    <t>Recapped re-rescaled tariff FZK</t>
  </si>
  <si>
    <t>Recapped re-rescaled tariff DZK</t>
  </si>
  <si>
    <t>Step 3 rescaled tariff FZK</t>
  </si>
  <si>
    <t>Step 3 rescaled tariff DZK</t>
  </si>
  <si>
    <t>Step 2 rescaled tariff FZK</t>
  </si>
  <si>
    <t>Step 2 rescaled tariff DZK</t>
  </si>
  <si>
    <t>input</t>
  </si>
  <si>
    <t>result</t>
  </si>
  <si>
    <t>GCA tariffs:</t>
  </si>
  <si>
    <t>based</t>
  </si>
  <si>
    <t>Entgelt</t>
  </si>
  <si>
    <t>TAG tariffs:</t>
  </si>
  <si>
    <t>Other results</t>
  </si>
  <si>
    <t>Effective E/X split: entry share</t>
  </si>
  <si>
    <t>Forecasted bookings (kWh/h/a)</t>
  </si>
  <si>
    <t>Distribution area</t>
  </si>
  <si>
    <t>Distribution area - Carinthia</t>
  </si>
  <si>
    <t>point</t>
  </si>
  <si>
    <t>FZK Exit Petrzalka</t>
  </si>
  <si>
    <t>FZK Exit distribution area</t>
  </si>
  <si>
    <t>FZK Entry distribution area</t>
  </si>
  <si>
    <t>DZK Entry Überackern (Oberkappel)</t>
  </si>
  <si>
    <t>DZK Exit distribution area (Baumgarten)</t>
  </si>
  <si>
    <t>DZK Exit distribution area (Oberkappel)</t>
  </si>
  <si>
    <t>DZK Exit Überackern (Oberkappel)</t>
  </si>
  <si>
    <t>ÜA Sudal (Überackern ABG)</t>
  </si>
  <si>
    <t>ÜA ABG (Überackern Sudal)</t>
  </si>
  <si>
    <t>Exit storage 7-fields</t>
  </si>
  <si>
    <t>Entry storage 7-fields</t>
  </si>
  <si>
    <t>Entry storage MAB</t>
  </si>
  <si>
    <t>Exit storage MAB</t>
  </si>
  <si>
    <t>FZK Exit distribution area Carinthia</t>
  </si>
  <si>
    <t>DZK Entry Arnoldstein (distribution grid)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</si>
</sst>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#,##0\ &quot;€&quot;;[Red]\-#,##0\ &quot;€&quot;"/>
    <numFmt numFmtId="43" formatCode="_-* #,##0.00\ _€_-;\-* #,##0.00\ _€_-;_-* &quot;-&quot;??\ _€_-;_-@_-"/>
    <numFmt numFmtId="164" formatCode="#,##0.0;\(#,##0.0\);\-"/>
    <numFmt numFmtId="165" formatCode="_-* #,##0.0\ _€_-;\-* #,##0.0\ _€_-;_-* &quot;-&quot;??\ _€_-;_-@_-"/>
    <numFmt numFmtId="166" formatCode="#,##0.0"/>
    <numFmt numFmtId="167" formatCode="_-* #,##0_-;\-* #,##0_-;_-* &quot;-&quot;??_-;_-@_-"/>
    <numFmt numFmtId="168" formatCode="_-* #,##0.00_-;\-* #,##0.00_-;_-* &quot;-&quot;??_-;_-@_-"/>
    <numFmt numFmtId="169" formatCode="0.000"/>
    <numFmt numFmtId="170" formatCode="0.0%"/>
    <numFmt numFmtId="171" formatCode="0.000000000000000000000"/>
    <numFmt numFmtId="172" formatCode="_-* #,##0.0000_-;\-* #,##0.0000_-;_-* &quot;-&quot;??_-;_-@_-"/>
    <numFmt numFmtId="173" formatCode="#,##0\ _€"/>
    <numFmt numFmtId="174" formatCode="#,##0.00\ _€"/>
    <numFmt numFmtId="175" formatCode="0.00000"/>
    <numFmt numFmtId="176" formatCode="###,###,##0.00"/>
    <numFmt numFmtId="177" formatCode="_-&quot;€&quot;\ * #,##0.00_-;\-&quot;€&quot;\ * #,##0.00_-;_-&quot;€&quot;\ * &quot;-&quot;??_-;_-@_-"/>
    <numFmt numFmtId="178" formatCode="_-* #,##0.00\ [$€]_-;\-* #,##0.00\ [$€]_-;_-* &quot;-&quot;??\ [$€]_-;_-@_-"/>
    <numFmt numFmtId="179" formatCode="###,###,##0"/>
    <numFmt numFmtId="180" formatCode="###,###,##0.000"/>
    <numFmt numFmtId="181" formatCode="#,##0.000\ _€"/>
    <numFmt numFmtId="182" formatCode="#,##0.00\ &quot;€&quot;"/>
    <numFmt numFmtId="183" formatCode="#,##0.0000"/>
    <numFmt numFmtId="184" formatCode="#,##0.00000"/>
    <numFmt numFmtId="185" formatCode="0.0000"/>
    <numFmt numFmtId="186" formatCode="0.00000%"/>
    <numFmt numFmtId="187" formatCode="_-* #,##0\ _€_-;\-* #,##0\ _€_-;_-* &quot;-&quot;??\ _€_-;_-@_-"/>
    <numFmt numFmtId="188" formatCode="0.000%"/>
  </numFmts>
  <fonts count="7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Trebuchet MS"/>
      <family val="2"/>
    </font>
    <font>
      <b/>
      <sz val="11"/>
      <name val="Calibri"/>
      <family val="2"/>
      <scheme val="minor"/>
    </font>
    <font>
      <b/>
      <sz val="14"/>
      <color indexed="56"/>
      <name val="Trebuchet MS"/>
      <family val="2"/>
    </font>
    <font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8"/>
      <color theme="0"/>
      <name val="Trebuchet MS"/>
      <family val="2"/>
    </font>
    <font>
      <sz val="11"/>
      <name val="Calibri"/>
      <family val="2"/>
      <scheme val="minor"/>
    </font>
    <font>
      <sz val="10"/>
      <color theme="1"/>
      <name val="Arial"/>
      <family val="2"/>
    </font>
    <font>
      <b/>
      <sz val="14"/>
      <color theme="0"/>
      <name val="Arial"/>
      <family val="2"/>
    </font>
    <font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1"/>
      <color theme="3" tint="0.39997558519241921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i/>
      <sz val="1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8"/>
      <color theme="0"/>
      <name val="Trebuchet MS"/>
      <family val="2"/>
    </font>
    <font>
      <b/>
      <sz val="11"/>
      <color theme="0" tint="-0.499984740745262"/>
      <name val="Calibri"/>
      <family val="2"/>
      <scheme val="minor"/>
    </font>
    <font>
      <sz val="11"/>
      <color theme="0" tint="-0.499984740745262"/>
      <name val="Trebuchet MS"/>
      <family val="2"/>
    </font>
    <font>
      <sz val="11"/>
      <color theme="0" tint="-0.499984740745262"/>
      <name val="Calibri"/>
      <family val="2"/>
      <scheme val="minor"/>
    </font>
    <font>
      <i/>
      <sz val="10"/>
      <color theme="0" tint="-0.499984740745262"/>
      <name val="Calibri"/>
      <family val="2"/>
      <scheme val="minor"/>
    </font>
    <font>
      <sz val="10"/>
      <name val="Arial"/>
      <family val="2"/>
    </font>
    <font>
      <i/>
      <sz val="11"/>
      <name val="Calibri"/>
      <family val="2"/>
      <scheme val="minor"/>
    </font>
    <font>
      <sz val="11"/>
      <color theme="0" tint="-0.34998626667073579"/>
      <name val="Calibri"/>
      <family val="2"/>
      <scheme val="minor"/>
    </font>
    <font>
      <u/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9"/>
      <color indexed="8"/>
      <name val="Arial"/>
      <family val="2"/>
    </font>
    <font>
      <b/>
      <sz val="14"/>
      <color rgb="FFFFFFFF"/>
      <name val="Calibri"/>
      <family val="2"/>
    </font>
    <font>
      <b/>
      <sz val="12"/>
      <color rgb="FFFFFFFF"/>
      <name val="Calibri"/>
      <family val="2"/>
    </font>
    <font>
      <b/>
      <sz val="12"/>
      <name val="Calibri"/>
      <family val="2"/>
    </font>
    <font>
      <sz val="12"/>
      <name val="Calibri"/>
      <family val="2"/>
      <scheme val="minor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0"/>
      <color indexed="8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9"/>
      <color indexed="8"/>
      <name val="Arial"/>
      <family val="2"/>
    </font>
    <font>
      <u/>
      <sz val="11"/>
      <color theme="10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8"/>
      <name val="Calibri"/>
      <family val="2"/>
    </font>
    <font>
      <b/>
      <sz val="11"/>
      <color indexed="63"/>
      <name val="Calibri"/>
      <family val="2"/>
    </font>
    <font>
      <sz val="10"/>
      <name val="MS Sans Serif"/>
      <family val="2"/>
    </font>
    <font>
      <sz val="10"/>
      <color theme="1"/>
      <name val="Verdana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Courier"/>
      <family val="3"/>
    </font>
    <font>
      <sz val="11"/>
      <color indexed="10"/>
      <name val="Calibri"/>
      <family val="2"/>
    </font>
    <font>
      <sz val="11"/>
      <color theme="0"/>
      <name val="Calibri"/>
      <family val="2"/>
    </font>
    <font>
      <sz val="11"/>
      <color rgb="FF3F3F76"/>
      <name val="Calibri"/>
      <family val="2"/>
      <scheme val="minor"/>
    </font>
    <font>
      <i/>
      <u/>
      <sz val="1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0" tint="-0.34998626667073579"/>
      <name val="Calibri"/>
      <family val="2"/>
      <scheme val="minor"/>
    </font>
    <font>
      <sz val="11"/>
      <color theme="2" tint="-0.499984740745262"/>
      <name val="Calibri"/>
      <family val="2"/>
      <scheme val="minor"/>
    </font>
    <font>
      <sz val="8"/>
      <color rgb="FF333333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indexed="56"/>
      <name val="Calibri"/>
      <family val="2"/>
      <scheme val="minor"/>
    </font>
    <font>
      <sz val="8"/>
      <color theme="0"/>
      <name val="Calibri"/>
      <family val="2"/>
      <scheme val="minor"/>
    </font>
  </fonts>
  <fills count="52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99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004C66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7E69"/>
        <bgColor indexed="64"/>
      </patternFill>
    </fill>
    <fill>
      <patternFill patternType="solid">
        <fgColor rgb="FF0099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rgb="FFBFBFBF"/>
        <bgColor indexed="64"/>
      </patternFill>
    </fill>
    <fill>
      <patternFill patternType="solid">
        <fgColor rgb="FFC6C6C6"/>
        <bgColor indexed="64"/>
      </patternFill>
    </fill>
    <fill>
      <patternFill patternType="solid">
        <fgColor indexed="26"/>
      </patternFill>
    </fill>
    <fill>
      <patternFill patternType="solid">
        <fgColor theme="0" tint="0.59996337778862885"/>
        <bgColor indexed="64"/>
      </patternFill>
    </fill>
    <fill>
      <patternFill patternType="solid">
        <fgColor rgb="FF2A3F82"/>
        <bgColor indexed="64"/>
      </patternFill>
    </fill>
    <fill>
      <patternFill patternType="solid">
        <fgColor rgb="FFFFCC99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 tint="-0.249977111117893"/>
        <bgColor indexed="64"/>
      </patternFill>
    </fill>
  </fills>
  <borders count="117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7F7F7F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/>
      <bottom/>
      <diagonal/>
    </border>
    <border>
      <left/>
      <right/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/>
      <top style="thin">
        <color theme="0"/>
      </top>
      <bottom style="thin">
        <color theme="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theme="0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indexed="64"/>
      </left>
      <right/>
      <top style="thin">
        <color theme="0"/>
      </top>
      <bottom style="thin">
        <color theme="0"/>
      </bottom>
      <diagonal/>
    </border>
    <border>
      <left style="thin">
        <color indexed="64"/>
      </left>
      <right/>
      <top style="thin">
        <color theme="0"/>
      </top>
      <bottom/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10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2" borderId="1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6" fillId="3" borderId="0" applyNumberFormat="0" applyBorder="0" applyAlignment="0" applyProtection="0"/>
    <xf numFmtId="168" fontId="15" fillId="0" borderId="0" applyFont="0" applyFill="0" applyBorder="0" applyAlignment="0" applyProtection="0"/>
    <xf numFmtId="168" fontId="1" fillId="0" borderId="0" applyFont="0" applyFill="0" applyBorder="0" applyAlignment="0" applyProtection="0"/>
    <xf numFmtId="0" fontId="28" fillId="0" borderId="0"/>
    <xf numFmtId="0" fontId="15" fillId="0" borderId="0"/>
    <xf numFmtId="9" fontId="15" fillId="0" borderId="0" applyFont="0" applyFill="0" applyBorder="0" applyAlignment="0" applyProtection="0"/>
    <xf numFmtId="0" fontId="33" fillId="19" borderId="0" applyNumberFormat="0" applyBorder="0" applyAlignment="0" applyProtection="0"/>
    <xf numFmtId="0" fontId="33" fillId="20" borderId="0" applyNumberFormat="0" applyBorder="0" applyAlignment="0" applyProtection="0"/>
    <xf numFmtId="0" fontId="33" fillId="21" borderId="0" applyNumberFormat="0" applyBorder="0" applyAlignment="0" applyProtection="0"/>
    <xf numFmtId="0" fontId="33" fillId="22" borderId="0" applyNumberFormat="0" applyBorder="0" applyAlignment="0" applyProtection="0"/>
    <xf numFmtId="0" fontId="33" fillId="23" borderId="0" applyNumberFormat="0" applyBorder="0" applyAlignment="0" applyProtection="0"/>
    <xf numFmtId="0" fontId="33" fillId="24" borderId="0" applyNumberFormat="0" applyBorder="0" applyAlignment="0" applyProtection="0"/>
    <xf numFmtId="0" fontId="33" fillId="25" borderId="0" applyNumberFormat="0" applyBorder="0" applyAlignment="0" applyProtection="0"/>
    <xf numFmtId="0" fontId="33" fillId="26" borderId="0" applyNumberFormat="0" applyBorder="0" applyAlignment="0" applyProtection="0"/>
    <xf numFmtId="0" fontId="33" fillId="27" borderId="0" applyNumberFormat="0" applyBorder="0" applyAlignment="0" applyProtection="0"/>
    <xf numFmtId="0" fontId="33" fillId="22" borderId="0" applyNumberFormat="0" applyBorder="0" applyAlignment="0" applyProtection="0"/>
    <xf numFmtId="0" fontId="33" fillId="25" borderId="0" applyNumberFormat="0" applyBorder="0" applyAlignment="0" applyProtection="0"/>
    <xf numFmtId="0" fontId="33" fillId="28" borderId="0" applyNumberFormat="0" applyBorder="0" applyAlignment="0" applyProtection="0"/>
    <xf numFmtId="0" fontId="34" fillId="29" borderId="0" applyNumberFormat="0" applyBorder="0" applyAlignment="0" applyProtection="0"/>
    <xf numFmtId="0" fontId="34" fillId="26" borderId="0" applyNumberFormat="0" applyBorder="0" applyAlignment="0" applyProtection="0"/>
    <xf numFmtId="0" fontId="34" fillId="27" borderId="0" applyNumberFormat="0" applyBorder="0" applyAlignment="0" applyProtection="0"/>
    <xf numFmtId="0" fontId="34" fillId="30" borderId="0" applyNumberFormat="0" applyBorder="0" applyAlignment="0" applyProtection="0"/>
    <xf numFmtId="0" fontId="34" fillId="31" borderId="0" applyNumberFormat="0" applyBorder="0" applyAlignment="0" applyProtection="0"/>
    <xf numFmtId="0" fontId="34" fillId="32" borderId="0" applyNumberFormat="0" applyBorder="0" applyAlignment="0" applyProtection="0"/>
    <xf numFmtId="0" fontId="34" fillId="33" borderId="0" applyNumberFormat="0" applyBorder="0" applyAlignment="0" applyProtection="0"/>
    <xf numFmtId="0" fontId="34" fillId="34" borderId="0" applyNumberFormat="0" applyBorder="0" applyAlignment="0" applyProtection="0"/>
    <xf numFmtId="0" fontId="34" fillId="35" borderId="0" applyNumberFormat="0" applyBorder="0" applyAlignment="0" applyProtection="0"/>
    <xf numFmtId="0" fontId="34" fillId="30" borderId="0" applyNumberFormat="0" applyBorder="0" applyAlignment="0" applyProtection="0"/>
    <xf numFmtId="0" fontId="34" fillId="31" borderId="0" applyNumberFormat="0" applyBorder="0" applyAlignment="0" applyProtection="0"/>
    <xf numFmtId="0" fontId="34" fillId="36" borderId="0" applyNumberFormat="0" applyBorder="0" applyAlignment="0" applyProtection="0"/>
    <xf numFmtId="0" fontId="35" fillId="20" borderId="0" applyNumberFormat="0" applyBorder="0" applyAlignment="0" applyProtection="0"/>
    <xf numFmtId="0" fontId="36" fillId="37" borderId="37" applyNumberFormat="0" applyAlignment="0" applyProtection="0"/>
    <xf numFmtId="0" fontId="37" fillId="38" borderId="38" applyNumberFormat="0" applyAlignment="0" applyProtection="0"/>
    <xf numFmtId="0" fontId="38" fillId="0" borderId="0" applyNumberFormat="0" applyBorder="0" applyProtection="0"/>
    <xf numFmtId="14" fontId="38" fillId="0" borderId="0" applyBorder="0" applyProtection="0"/>
    <xf numFmtId="176" fontId="38" fillId="0" borderId="0" applyBorder="0" applyProtection="0">
      <alignment horizontal="right"/>
    </xf>
    <xf numFmtId="0" fontId="39" fillId="6" borderId="0" applyBorder="0" applyAlignment="0" applyProtection="0"/>
    <xf numFmtId="0" fontId="40" fillId="39" borderId="0" applyAlignment="0" applyProtection="0"/>
    <xf numFmtId="0" fontId="41" fillId="0" borderId="0" applyAlignment="0" applyProtection="0"/>
    <xf numFmtId="0" fontId="42" fillId="0" borderId="0"/>
    <xf numFmtId="177" fontId="28" fillId="0" borderId="0" applyFont="0" applyFill="0" applyBorder="0" applyAlignment="0" applyProtection="0"/>
    <xf numFmtId="178" fontId="28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21" borderId="0" applyNumberFormat="0" applyBorder="0" applyAlignment="0" applyProtection="0"/>
    <xf numFmtId="0" fontId="45" fillId="40" borderId="0" applyNumberFormat="0" applyBorder="0" applyProtection="0">
      <alignment horizontal="left"/>
    </xf>
    <xf numFmtId="0" fontId="46" fillId="0" borderId="39" applyNumberFormat="0" applyFill="0" applyAlignment="0" applyProtection="0"/>
    <xf numFmtId="0" fontId="47" fillId="0" borderId="40" applyNumberFormat="0" applyFill="0" applyAlignment="0" applyProtection="0"/>
    <xf numFmtId="0" fontId="48" fillId="0" borderId="41" applyNumberFormat="0" applyFill="0" applyAlignment="0" applyProtection="0"/>
    <xf numFmtId="0" fontId="48" fillId="0" borderId="41" applyNumberFormat="0" applyFill="0" applyAlignment="0" applyProtection="0"/>
    <xf numFmtId="0" fontId="48" fillId="0" borderId="0" applyNumberFormat="0" applyFill="0" applyBorder="0" applyAlignment="0" applyProtection="0"/>
    <xf numFmtId="14" fontId="49" fillId="0" borderId="0" applyBorder="0" applyProtection="0"/>
    <xf numFmtId="176" fontId="49" fillId="0" borderId="0" applyBorder="0" applyProtection="0"/>
    <xf numFmtId="179" fontId="49" fillId="0" borderId="0" applyBorder="0" applyProtection="0"/>
    <xf numFmtId="0" fontId="49" fillId="0" borderId="0" applyNumberFormat="0" applyBorder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51" fillId="24" borderId="37" applyNumberFormat="0" applyAlignment="0" applyProtection="0"/>
    <xf numFmtId="168" fontId="1" fillId="0" borderId="0" applyFont="0" applyFill="0" applyBorder="0" applyAlignment="0" applyProtection="0"/>
    <xf numFmtId="168" fontId="28" fillId="0" borderId="0" applyFont="0" applyFill="0" applyBorder="0" applyAlignment="0" applyProtection="0"/>
    <xf numFmtId="168" fontId="28" fillId="0" borderId="0" applyFont="0" applyFill="0" applyBorder="0" applyAlignment="0" applyProtection="0"/>
    <xf numFmtId="168" fontId="28" fillId="0" borderId="0" applyFont="0" applyFill="0" applyBorder="0" applyAlignment="0" applyProtection="0"/>
    <xf numFmtId="0" fontId="52" fillId="0" borderId="42" applyNumberFormat="0" applyFill="0" applyAlignment="0" applyProtection="0"/>
    <xf numFmtId="168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5" fontId="28" fillId="0" borderId="0"/>
    <xf numFmtId="0" fontId="53" fillId="41" borderId="43" applyNumberFormat="0" applyFont="0" applyAlignment="0" applyProtection="0"/>
    <xf numFmtId="179" fontId="38" fillId="0" borderId="0" applyBorder="0" applyProtection="0">
      <alignment horizontal="right"/>
    </xf>
    <xf numFmtId="0" fontId="54" fillId="37" borderId="44" applyNumberFormat="0" applyAlignment="0" applyProtection="0"/>
    <xf numFmtId="9" fontId="53" fillId="0" borderId="0" applyFont="0" applyFill="0" applyBorder="0" applyAlignment="0" applyProtection="0"/>
    <xf numFmtId="9" fontId="28" fillId="0" borderId="0" applyFont="0" applyFill="0" applyBorder="0" applyAlignment="0" applyProtection="0"/>
    <xf numFmtId="0" fontId="28" fillId="0" borderId="0"/>
    <xf numFmtId="0" fontId="15" fillId="0" borderId="0"/>
    <xf numFmtId="0" fontId="28" fillId="0" borderId="0"/>
    <xf numFmtId="0" fontId="28" fillId="0" borderId="0"/>
    <xf numFmtId="0" fontId="15" fillId="0" borderId="0"/>
    <xf numFmtId="0" fontId="1" fillId="0" borderId="0"/>
    <xf numFmtId="0" fontId="28" fillId="0" borderId="0"/>
    <xf numFmtId="0" fontId="28" fillId="0" borderId="0"/>
    <xf numFmtId="0" fontId="55" fillId="0" borderId="0"/>
    <xf numFmtId="0" fontId="1" fillId="0" borderId="0"/>
    <xf numFmtId="0" fontId="56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80" fontId="49" fillId="0" borderId="0" applyBorder="0" applyProtection="0"/>
    <xf numFmtId="180" fontId="38" fillId="0" borderId="0" applyBorder="0" applyProtection="0">
      <alignment horizontal="right"/>
    </xf>
    <xf numFmtId="0" fontId="57" fillId="0" borderId="0" applyNumberFormat="0" applyFill="0" applyBorder="0" applyAlignment="0" applyProtection="0"/>
    <xf numFmtId="0" fontId="58" fillId="0" borderId="45" applyNumberFormat="0" applyFill="0" applyAlignment="0" applyProtection="0"/>
    <xf numFmtId="0" fontId="40" fillId="42" borderId="0" applyNumberFormat="0" applyAlignment="0" applyProtection="0"/>
    <xf numFmtId="0" fontId="41" fillId="0" borderId="0" applyNumberFormat="0" applyAlignment="0" applyProtection="0"/>
    <xf numFmtId="0" fontId="40" fillId="43" borderId="0" applyNumberFormat="0" applyBorder="0" applyAlignment="0" applyProtection="0"/>
    <xf numFmtId="0" fontId="59" fillId="0" borderId="0"/>
    <xf numFmtId="0" fontId="60" fillId="0" borderId="0" applyNumberFormat="0" applyFill="0" applyBorder="0" applyAlignment="0" applyProtection="0"/>
    <xf numFmtId="0" fontId="62" fillId="44" borderId="1" applyNumberFormat="0" applyAlignment="0" applyProtection="0"/>
    <xf numFmtId="0" fontId="36" fillId="37" borderId="85" applyNumberFormat="0" applyAlignment="0" applyProtection="0"/>
    <xf numFmtId="0" fontId="51" fillId="24" borderId="85" applyNumberFormat="0" applyAlignment="0" applyProtection="0"/>
    <xf numFmtId="0" fontId="53" fillId="41" borderId="86" applyNumberFormat="0" applyFont="0" applyAlignment="0" applyProtection="0"/>
    <xf numFmtId="0" fontId="54" fillId="37" borderId="87" applyNumberFormat="0" applyAlignment="0" applyProtection="0"/>
    <xf numFmtId="0" fontId="58" fillId="0" borderId="88" applyNumberFormat="0" applyFill="0" applyAlignment="0" applyProtection="0"/>
  </cellStyleXfs>
  <cellXfs count="688">
    <xf numFmtId="0" fontId="0" fillId="0" borderId="0" xfId="0"/>
    <xf numFmtId="15" fontId="7" fillId="4" borderId="2" xfId="4" applyNumberFormat="1" applyFont="1" applyFill="1" applyBorder="1" applyAlignment="1">
      <alignment horizontal="left"/>
    </xf>
    <xf numFmtId="2" fontId="8" fillId="5" borderId="3" xfId="3" applyNumberFormat="1" applyFont="1" applyFill="1" applyBorder="1" applyAlignment="1">
      <alignment horizontal="center"/>
    </xf>
    <xf numFmtId="0" fontId="1" fillId="0" borderId="0" xfId="4"/>
    <xf numFmtId="164" fontId="9" fillId="0" borderId="4" xfId="4" applyNumberFormat="1" applyFont="1" applyBorder="1"/>
    <xf numFmtId="164" fontId="9" fillId="0" borderId="5" xfId="4" applyNumberFormat="1" applyFont="1" applyBorder="1"/>
    <xf numFmtId="0" fontId="10" fillId="0" borderId="5" xfId="4" applyFont="1" applyBorder="1"/>
    <xf numFmtId="15" fontId="13" fillId="4" borderId="5" xfId="4" applyNumberFormat="1" applyFont="1" applyFill="1" applyBorder="1" applyAlignment="1">
      <alignment horizontal="left"/>
    </xf>
    <xf numFmtId="15" fontId="13" fillId="4" borderId="4" xfId="4" applyNumberFormat="1" applyFont="1" applyFill="1" applyBorder="1" applyAlignment="1">
      <alignment horizontal="left"/>
    </xf>
    <xf numFmtId="15" fontId="13" fillId="4" borderId="5" xfId="4" applyNumberFormat="1" applyFont="1" applyFill="1" applyBorder="1" applyAlignment="1">
      <alignment horizontal="center"/>
    </xf>
    <xf numFmtId="15" fontId="13" fillId="4" borderId="9" xfId="4" applyNumberFormat="1" applyFont="1" applyFill="1" applyBorder="1" applyAlignment="1">
      <alignment horizontal="center"/>
    </xf>
    <xf numFmtId="15" fontId="13" fillId="4" borderId="4" xfId="4" applyNumberFormat="1" applyFont="1" applyFill="1" applyBorder="1" applyAlignment="1">
      <alignment horizontal="center"/>
    </xf>
    <xf numFmtId="15" fontId="13" fillId="4" borderId="0" xfId="4" applyNumberFormat="1" applyFont="1" applyFill="1" applyBorder="1" applyAlignment="1">
      <alignment horizontal="left"/>
    </xf>
    <xf numFmtId="15" fontId="13" fillId="4" borderId="0" xfId="4" applyNumberFormat="1" applyFont="1" applyFill="1" applyBorder="1" applyAlignment="1">
      <alignment horizontal="center"/>
    </xf>
    <xf numFmtId="15" fontId="13" fillId="4" borderId="10" xfId="4" applyNumberFormat="1" applyFont="1" applyFill="1" applyBorder="1" applyAlignment="1">
      <alignment horizontal="center"/>
    </xf>
    <xf numFmtId="15" fontId="13" fillId="4" borderId="12" xfId="4" applyNumberFormat="1" applyFont="1" applyFill="1" applyBorder="1" applyAlignment="1">
      <alignment horizontal="center"/>
    </xf>
    <xf numFmtId="15" fontId="13" fillId="4" borderId="10" xfId="4" applyNumberFormat="1" applyFont="1" applyFill="1" applyBorder="1" applyAlignment="1">
      <alignment horizontal="left"/>
    </xf>
    <xf numFmtId="15" fontId="13" fillId="4" borderId="6" xfId="4" applyNumberFormat="1" applyFont="1" applyFill="1" applyBorder="1" applyAlignment="1">
      <alignment horizontal="left"/>
    </xf>
    <xf numFmtId="15" fontId="13" fillId="4" borderId="7" xfId="4" applyNumberFormat="1" applyFont="1" applyFill="1" applyBorder="1" applyAlignment="1">
      <alignment horizontal="left"/>
    </xf>
    <xf numFmtId="2" fontId="2" fillId="4" borderId="0" xfId="3" applyNumberFormat="1" applyFill="1" applyBorder="1" applyAlignment="1">
      <alignment horizontal="center"/>
    </xf>
    <xf numFmtId="165" fontId="13" fillId="4" borderId="0" xfId="6" applyNumberFormat="1" applyFont="1" applyFill="1" applyBorder="1" applyAlignment="1">
      <alignment horizontal="left"/>
    </xf>
    <xf numFmtId="2" fontId="2" fillId="4" borderId="7" xfId="3" applyNumberFormat="1" applyFill="1" applyBorder="1" applyAlignment="1">
      <alignment horizontal="center"/>
    </xf>
    <xf numFmtId="165" fontId="13" fillId="4" borderId="7" xfId="6" applyNumberFormat="1" applyFont="1" applyFill="1" applyBorder="1" applyAlignment="1">
      <alignment horizontal="left"/>
    </xf>
    <xf numFmtId="15" fontId="13" fillId="4" borderId="21" xfId="4" applyNumberFormat="1" applyFont="1" applyFill="1" applyBorder="1" applyAlignment="1">
      <alignment horizontal="left"/>
    </xf>
    <xf numFmtId="2" fontId="2" fillId="4" borderId="21" xfId="3" applyNumberFormat="1" applyFill="1" applyBorder="1" applyAlignment="1">
      <alignment horizontal="center"/>
    </xf>
    <xf numFmtId="166" fontId="14" fillId="0" borderId="11" xfId="7" applyNumberFormat="1" applyFont="1" applyFill="1" applyBorder="1" applyAlignment="1">
      <alignment horizontal="right"/>
    </xf>
    <xf numFmtId="167" fontId="3" fillId="4" borderId="7" xfId="8" applyNumberFormat="1" applyFont="1" applyFill="1" applyBorder="1" applyAlignment="1">
      <alignment horizontal="center"/>
    </xf>
    <xf numFmtId="166" fontId="14" fillId="0" borderId="20" xfId="7" applyNumberFormat="1" applyFont="1" applyFill="1" applyBorder="1" applyAlignment="1">
      <alignment horizontal="right"/>
    </xf>
    <xf numFmtId="0" fontId="16" fillId="8" borderId="0" xfId="0" applyFont="1" applyFill="1"/>
    <xf numFmtId="0" fontId="0" fillId="0" borderId="0" xfId="0" applyAlignment="1">
      <alignment horizontal="right"/>
    </xf>
    <xf numFmtId="167" fontId="0" fillId="0" borderId="0" xfId="1" applyNumberFormat="1" applyFont="1"/>
    <xf numFmtId="167" fontId="0" fillId="0" borderId="0" xfId="9" applyNumberFormat="1" applyFont="1"/>
    <xf numFmtId="9" fontId="8" fillId="5" borderId="3" xfId="2" applyFont="1" applyFill="1" applyBorder="1" applyAlignment="1">
      <alignment horizontal="center"/>
    </xf>
    <xf numFmtId="0" fontId="5" fillId="0" borderId="0" xfId="0" applyFont="1"/>
    <xf numFmtId="0" fontId="17" fillId="0" borderId="0" xfId="0" applyFont="1" applyAlignment="1">
      <alignment horizontal="center"/>
    </xf>
    <xf numFmtId="0" fontId="5" fillId="0" borderId="24" xfId="0" applyFont="1" applyBorder="1" applyAlignment="1">
      <alignment horizontal="center" wrapText="1"/>
    </xf>
    <xf numFmtId="0" fontId="0" fillId="0" borderId="0" xfId="0" applyFill="1" applyAlignment="1">
      <alignment horizontal="center"/>
    </xf>
    <xf numFmtId="2" fontId="0" fillId="0" borderId="0" xfId="0" applyNumberFormat="1"/>
    <xf numFmtId="3" fontId="0" fillId="0" borderId="0" xfId="0" applyNumberFormat="1"/>
    <xf numFmtId="169" fontId="0" fillId="0" borderId="0" xfId="0" applyNumberFormat="1"/>
    <xf numFmtId="2" fontId="14" fillId="0" borderId="0" xfId="0" applyNumberFormat="1" applyFont="1"/>
    <xf numFmtId="2" fontId="0" fillId="0" borderId="0" xfId="0" applyNumberFormat="1" applyFill="1"/>
    <xf numFmtId="168" fontId="0" fillId="0" borderId="0" xfId="9" applyFont="1"/>
    <xf numFmtId="0" fontId="0" fillId="0" borderId="0" xfId="0" applyAlignment="1">
      <alignment horizontal="center"/>
    </xf>
    <xf numFmtId="0" fontId="5" fillId="0" borderId="25" xfId="0" applyFont="1" applyBorder="1" applyAlignment="1">
      <alignment horizontal="center" wrapText="1"/>
    </xf>
    <xf numFmtId="0" fontId="8" fillId="0" borderId="24" xfId="0" applyFont="1" applyFill="1" applyBorder="1" applyAlignment="1">
      <alignment horizontal="center" wrapText="1"/>
    </xf>
    <xf numFmtId="3" fontId="0" fillId="0" borderId="0" xfId="0" applyNumberFormat="1" applyFill="1"/>
    <xf numFmtId="0" fontId="5" fillId="0" borderId="0" xfId="0" applyFont="1" applyAlignment="1">
      <alignment horizontal="center"/>
    </xf>
    <xf numFmtId="0" fontId="17" fillId="0" borderId="0" xfId="0" applyFont="1"/>
    <xf numFmtId="0" fontId="18" fillId="0" borderId="0" xfId="0" applyFont="1" applyAlignment="1">
      <alignment horizontal="center"/>
    </xf>
    <xf numFmtId="4" fontId="0" fillId="0" borderId="0" xfId="0" applyNumberFormat="1" applyFill="1"/>
    <xf numFmtId="0" fontId="5" fillId="0" borderId="24" xfId="0" applyFont="1" applyFill="1" applyBorder="1" applyAlignment="1">
      <alignment horizontal="center" wrapText="1"/>
    </xf>
    <xf numFmtId="2" fontId="14" fillId="0" borderId="0" xfId="0" applyNumberFormat="1" applyFont="1" applyFill="1"/>
    <xf numFmtId="0" fontId="0" fillId="0" borderId="0" xfId="0" applyFill="1"/>
    <xf numFmtId="9" fontId="0" fillId="0" borderId="0" xfId="2" applyFont="1" applyFill="1"/>
    <xf numFmtId="0" fontId="0" fillId="0" borderId="0" xfId="0" applyFill="1" applyBorder="1"/>
    <xf numFmtId="3" fontId="19" fillId="0" borderId="0" xfId="0" applyNumberFormat="1" applyFont="1"/>
    <xf numFmtId="0" fontId="19" fillId="0" borderId="0" xfId="0" applyFont="1"/>
    <xf numFmtId="170" fontId="0" fillId="0" borderId="0" xfId="2" applyNumberFormat="1" applyFont="1"/>
    <xf numFmtId="167" fontId="14" fillId="0" borderId="0" xfId="9" applyNumberFormat="1" applyFont="1"/>
    <xf numFmtId="171" fontId="0" fillId="0" borderId="0" xfId="0" applyNumberFormat="1"/>
    <xf numFmtId="0" fontId="0" fillId="0" borderId="0" xfId="0" applyBorder="1"/>
    <xf numFmtId="4" fontId="14" fillId="0" borderId="0" xfId="0" applyNumberFormat="1" applyFont="1"/>
    <xf numFmtId="3" fontId="16" fillId="8" borderId="0" xfId="0" applyNumberFormat="1" applyFont="1" applyFill="1"/>
    <xf numFmtId="3" fontId="0" fillId="0" borderId="0" xfId="0" applyNumberFormat="1" applyBorder="1" applyAlignment="1">
      <alignment horizontal="center"/>
    </xf>
    <xf numFmtId="3" fontId="18" fillId="0" borderId="0" xfId="0" applyNumberFormat="1" applyFont="1" applyAlignment="1">
      <alignment horizontal="center"/>
    </xf>
    <xf numFmtId="3" fontId="8" fillId="0" borderId="24" xfId="0" applyNumberFormat="1" applyFont="1" applyFill="1" applyBorder="1" applyAlignment="1">
      <alignment horizontal="center" wrapText="1"/>
    </xf>
    <xf numFmtId="168" fontId="0" fillId="0" borderId="0" xfId="9" applyFont="1" applyFill="1"/>
    <xf numFmtId="3" fontId="19" fillId="0" borderId="0" xfId="0" applyNumberFormat="1" applyFont="1" applyFill="1"/>
    <xf numFmtId="2" fontId="8" fillId="5" borderId="3" xfId="2" applyNumberFormat="1" applyFont="1" applyFill="1" applyBorder="1" applyAlignment="1">
      <alignment horizontal="center"/>
    </xf>
    <xf numFmtId="2" fontId="2" fillId="4" borderId="5" xfId="3" applyNumberFormat="1" applyFill="1" applyBorder="1" applyAlignment="1">
      <alignment horizontal="center"/>
    </xf>
    <xf numFmtId="165" fontId="13" fillId="4" borderId="5" xfId="6" applyNumberFormat="1" applyFont="1" applyFill="1" applyBorder="1" applyAlignment="1">
      <alignment horizontal="left"/>
    </xf>
    <xf numFmtId="165" fontId="13" fillId="4" borderId="9" xfId="6" applyNumberFormat="1" applyFont="1" applyFill="1" applyBorder="1" applyAlignment="1">
      <alignment horizontal="left"/>
    </xf>
    <xf numFmtId="165" fontId="13" fillId="4" borderId="12" xfId="6" applyNumberFormat="1" applyFont="1" applyFill="1" applyBorder="1" applyAlignment="1">
      <alignment horizontal="left"/>
    </xf>
    <xf numFmtId="165" fontId="13" fillId="4" borderId="23" xfId="6" applyNumberFormat="1" applyFont="1" applyFill="1" applyBorder="1" applyAlignment="1">
      <alignment horizontal="left"/>
    </xf>
    <xf numFmtId="0" fontId="20" fillId="0" borderId="0" xfId="0" applyFont="1"/>
    <xf numFmtId="0" fontId="8" fillId="0" borderId="0" xfId="0" applyFont="1" applyAlignment="1">
      <alignment horizontal="center" wrapText="1"/>
    </xf>
    <xf numFmtId="166" fontId="8" fillId="9" borderId="3" xfId="3" applyNumberFormat="1" applyFont="1" applyFill="1" applyBorder="1" applyAlignment="1">
      <alignment horizontal="right"/>
    </xf>
    <xf numFmtId="2" fontId="2" fillId="4" borderId="12" xfId="3" applyNumberFormat="1" applyFill="1" applyBorder="1" applyAlignment="1">
      <alignment horizontal="center"/>
    </xf>
    <xf numFmtId="0" fontId="5" fillId="0" borderId="0" xfId="0" applyFont="1" applyFill="1" applyBorder="1" applyAlignment="1">
      <alignment horizontal="center" wrapText="1"/>
    </xf>
    <xf numFmtId="1" fontId="0" fillId="0" borderId="0" xfId="0" applyNumberFormat="1"/>
    <xf numFmtId="3" fontId="5" fillId="0" borderId="0" xfId="0" applyNumberFormat="1" applyFont="1"/>
    <xf numFmtId="3" fontId="20" fillId="0" borderId="0" xfId="0" applyNumberFormat="1" applyFont="1"/>
    <xf numFmtId="166" fontId="14" fillId="0" borderId="22" xfId="3" applyNumberFormat="1" applyFont="1" applyFill="1" applyBorder="1" applyAlignment="1">
      <alignment horizontal="right"/>
    </xf>
    <xf numFmtId="166" fontId="14" fillId="0" borderId="22" xfId="7" applyNumberFormat="1" applyFont="1" applyFill="1" applyBorder="1" applyAlignment="1">
      <alignment horizontal="right"/>
    </xf>
    <xf numFmtId="15" fontId="7" fillId="4" borderId="21" xfId="4" applyNumberFormat="1" applyFont="1" applyFill="1" applyBorder="1" applyAlignment="1">
      <alignment horizontal="left"/>
    </xf>
    <xf numFmtId="2" fontId="0" fillId="0" borderId="0" xfId="0" applyNumberFormat="1" applyFill="1" applyBorder="1"/>
    <xf numFmtId="3" fontId="0" fillId="0" borderId="0" xfId="0" applyNumberFormat="1" applyFill="1" applyBorder="1"/>
    <xf numFmtId="0" fontId="17" fillId="0" borderId="0" xfId="0" applyFont="1" applyFill="1" applyAlignment="1">
      <alignment horizontal="center"/>
    </xf>
    <xf numFmtId="3" fontId="14" fillId="0" borderId="0" xfId="0" applyNumberFormat="1" applyFont="1" applyFill="1"/>
    <xf numFmtId="0" fontId="20" fillId="0" borderId="0" xfId="0" applyFont="1" applyAlignment="1">
      <alignment horizontal="right"/>
    </xf>
    <xf numFmtId="15" fontId="7" fillId="4" borderId="4" xfId="4" applyNumberFormat="1" applyFont="1" applyFill="1" applyBorder="1" applyAlignment="1">
      <alignment horizontal="left"/>
    </xf>
    <xf numFmtId="15" fontId="7" fillId="4" borderId="2" xfId="4" applyNumberFormat="1" applyFont="1" applyFill="1" applyBorder="1" applyAlignment="1">
      <alignment horizontal="left" indent="1"/>
    </xf>
    <xf numFmtId="166" fontId="14" fillId="0" borderId="8" xfId="7" applyNumberFormat="1" applyFont="1" applyFill="1" applyBorder="1" applyAlignment="1">
      <alignment horizontal="right"/>
    </xf>
    <xf numFmtId="2" fontId="8" fillId="0" borderId="13" xfId="3" applyNumberFormat="1" applyFont="1" applyFill="1" applyBorder="1" applyAlignment="1">
      <alignment horizontal="center"/>
    </xf>
    <xf numFmtId="0" fontId="0" fillId="0" borderId="5" xfId="0" applyBorder="1"/>
    <xf numFmtId="0" fontId="12" fillId="0" borderId="0" xfId="0" applyFont="1" applyAlignment="1">
      <alignment horizontal="center"/>
    </xf>
    <xf numFmtId="15" fontId="23" fillId="4" borderId="0" xfId="4" applyNumberFormat="1" applyFont="1" applyFill="1" applyBorder="1" applyAlignment="1">
      <alignment horizontal="center"/>
    </xf>
    <xf numFmtId="15" fontId="23" fillId="4" borderId="10" xfId="4" applyNumberFormat="1" applyFont="1" applyFill="1" applyBorder="1" applyAlignment="1">
      <alignment horizontal="center"/>
    </xf>
    <xf numFmtId="15" fontId="23" fillId="4" borderId="12" xfId="4" applyNumberFormat="1" applyFont="1" applyFill="1" applyBorder="1" applyAlignment="1">
      <alignment horizontal="center"/>
    </xf>
    <xf numFmtId="15" fontId="7" fillId="4" borderId="2" xfId="4" applyNumberFormat="1" applyFont="1" applyFill="1" applyBorder="1" applyAlignment="1">
      <alignment horizontal="left" indent="2"/>
    </xf>
    <xf numFmtId="0" fontId="1" fillId="0" borderId="0" xfId="4" applyAlignment="1">
      <alignment horizontal="center"/>
    </xf>
    <xf numFmtId="0" fontId="10" fillId="0" borderId="5" xfId="4" applyFont="1" applyBorder="1" applyAlignment="1">
      <alignment horizontal="center"/>
    </xf>
    <xf numFmtId="6" fontId="23" fillId="4" borderId="0" xfId="4" applyNumberFormat="1" applyFont="1" applyFill="1" applyBorder="1" applyAlignment="1">
      <alignment horizontal="center"/>
    </xf>
    <xf numFmtId="15" fontId="25" fillId="0" borderId="0" xfId="4" applyNumberFormat="1" applyFont="1" applyFill="1" applyBorder="1" applyAlignment="1">
      <alignment horizontal="left"/>
    </xf>
    <xf numFmtId="4" fontId="26" fillId="0" borderId="0" xfId="3" applyNumberFormat="1" applyFont="1" applyFill="1" applyBorder="1" applyAlignment="1">
      <alignment horizontal="right"/>
    </xf>
    <xf numFmtId="3" fontId="8" fillId="9" borderId="3" xfId="3" applyNumberFormat="1" applyFont="1" applyFill="1" applyBorder="1" applyAlignment="1">
      <alignment horizontal="right"/>
    </xf>
    <xf numFmtId="15" fontId="7" fillId="13" borderId="2" xfId="4" applyNumberFormat="1" applyFont="1" applyFill="1" applyBorder="1" applyAlignment="1">
      <alignment horizontal="left"/>
    </xf>
    <xf numFmtId="2" fontId="8" fillId="0" borderId="17" xfId="3" applyNumberFormat="1" applyFont="1" applyFill="1" applyBorder="1" applyAlignment="1">
      <alignment horizontal="center"/>
    </xf>
    <xf numFmtId="49" fontId="13" fillId="4" borderId="0" xfId="4" applyNumberFormat="1" applyFont="1" applyFill="1" applyBorder="1" applyAlignment="1">
      <alignment horizontal="center"/>
    </xf>
    <xf numFmtId="15" fontId="23" fillId="4" borderId="0" xfId="4" quotePrefix="1" applyNumberFormat="1" applyFont="1" applyFill="1" applyBorder="1" applyAlignment="1">
      <alignment horizontal="center"/>
    </xf>
    <xf numFmtId="0" fontId="12" fillId="0" borderId="5" xfId="0" applyFont="1" applyBorder="1" applyAlignment="1">
      <alignment horizontal="left"/>
    </xf>
    <xf numFmtId="0" fontId="0" fillId="0" borderId="9" xfId="0" applyBorder="1"/>
    <xf numFmtId="0" fontId="11" fillId="0" borderId="0" xfId="0" applyFont="1"/>
    <xf numFmtId="0" fontId="11" fillId="0" borderId="0" xfId="0" applyFont="1" applyAlignment="1">
      <alignment horizontal="center"/>
    </xf>
    <xf numFmtId="9" fontId="14" fillId="0" borderId="0" xfId="2" applyFont="1" applyFill="1"/>
    <xf numFmtId="0" fontId="26" fillId="0" borderId="0" xfId="0" applyFont="1"/>
    <xf numFmtId="0" fontId="27" fillId="0" borderId="0" xfId="0" applyFont="1" applyAlignment="1">
      <alignment horizontal="center"/>
    </xf>
    <xf numFmtId="0" fontId="24" fillId="0" borderId="0" xfId="0" applyFont="1" applyAlignment="1">
      <alignment horizontal="center" wrapText="1"/>
    </xf>
    <xf numFmtId="3" fontId="26" fillId="0" borderId="0" xfId="0" applyNumberFormat="1" applyFont="1" applyFill="1"/>
    <xf numFmtId="9" fontId="26" fillId="0" borderId="0" xfId="2" applyFont="1" applyFill="1"/>
    <xf numFmtId="0" fontId="0" fillId="0" borderId="0" xfId="0" applyAlignment="1">
      <alignment horizontal="left"/>
    </xf>
    <xf numFmtId="0" fontId="16" fillId="7" borderId="0" xfId="0" applyFont="1" applyFill="1"/>
    <xf numFmtId="3" fontId="16" fillId="7" borderId="0" xfId="0" applyNumberFormat="1" applyFont="1" applyFill="1"/>
    <xf numFmtId="172" fontId="0" fillId="0" borderId="0" xfId="0" applyNumberFormat="1"/>
    <xf numFmtId="166" fontId="8" fillId="0" borderId="20" xfId="7" applyNumberFormat="1" applyFont="1" applyFill="1" applyBorder="1" applyAlignment="1">
      <alignment horizontal="right"/>
    </xf>
    <xf numFmtId="0" fontId="18" fillId="12" borderId="0" xfId="0" applyFont="1" applyFill="1"/>
    <xf numFmtId="0" fontId="0" fillId="12" borderId="0" xfId="0" applyFont="1" applyFill="1"/>
    <xf numFmtId="0" fontId="0" fillId="11" borderId="0" xfId="0" applyFont="1" applyFill="1"/>
    <xf numFmtId="0" fontId="0" fillId="0" borderId="0" xfId="0" applyFont="1"/>
    <xf numFmtId="0" fontId="14" fillId="12" borderId="0" xfId="10" applyFont="1" applyFill="1"/>
    <xf numFmtId="0" fontId="0" fillId="12" borderId="0" xfId="0" applyFont="1" applyFill="1" applyBorder="1"/>
    <xf numFmtId="1" fontId="0" fillId="12" borderId="0" xfId="0" applyNumberFormat="1" applyFont="1" applyFill="1" applyBorder="1"/>
    <xf numFmtId="0" fontId="17" fillId="12" borderId="0" xfId="0" applyFont="1" applyFill="1"/>
    <xf numFmtId="0" fontId="0" fillId="0" borderId="0" xfId="0" applyFont="1" applyAlignment="1">
      <alignment wrapText="1"/>
    </xf>
    <xf numFmtId="0" fontId="0" fillId="12" borderId="0" xfId="0" applyFont="1" applyFill="1" applyAlignment="1">
      <alignment wrapText="1"/>
    </xf>
    <xf numFmtId="0" fontId="14" fillId="0" borderId="0" xfId="0" applyFont="1" applyFill="1" applyBorder="1" applyAlignment="1">
      <alignment wrapText="1"/>
    </xf>
    <xf numFmtId="0" fontId="14" fillId="0" borderId="0" xfId="0" applyFont="1" applyFill="1" applyBorder="1"/>
    <xf numFmtId="173" fontId="0" fillId="12" borderId="0" xfId="10" applyNumberFormat="1" applyFont="1" applyFill="1" applyBorder="1" applyAlignment="1">
      <alignment horizontal="center"/>
    </xf>
    <xf numFmtId="0" fontId="14" fillId="12" borderId="0" xfId="0" applyFont="1" applyFill="1"/>
    <xf numFmtId="173" fontId="0" fillId="12" borderId="0" xfId="0" applyNumberFormat="1" applyFont="1" applyFill="1" applyAlignment="1">
      <alignment horizontal="center"/>
    </xf>
    <xf numFmtId="0" fontId="20" fillId="12" borderId="0" xfId="0" applyFont="1" applyFill="1"/>
    <xf numFmtId="3" fontId="0" fillId="12" borderId="0" xfId="0" applyNumberFormat="1" applyFont="1" applyFill="1"/>
    <xf numFmtId="3" fontId="14" fillId="12" borderId="0" xfId="0" applyNumberFormat="1" applyFont="1" applyFill="1"/>
    <xf numFmtId="3" fontId="0" fillId="12" borderId="0" xfId="0" applyNumberFormat="1" applyFont="1" applyFill="1" applyBorder="1"/>
    <xf numFmtId="0" fontId="8" fillId="12" borderId="32" xfId="0" applyFont="1" applyFill="1" applyBorder="1"/>
    <xf numFmtId="10" fontId="8" fillId="12" borderId="32" xfId="2" applyNumberFormat="1" applyFont="1" applyFill="1" applyBorder="1" applyAlignment="1">
      <alignment horizontal="center"/>
    </xf>
    <xf numFmtId="0" fontId="6" fillId="14" borderId="32" xfId="10" applyFont="1" applyFill="1" applyBorder="1" applyAlignment="1">
      <alignment horizontal="center" wrapText="1"/>
    </xf>
    <xf numFmtId="173" fontId="0" fillId="0" borderId="32" xfId="10" applyNumberFormat="1" applyFont="1" applyFill="1" applyBorder="1" applyAlignment="1">
      <alignment horizontal="right"/>
    </xf>
    <xf numFmtId="0" fontId="3" fillId="14" borderId="32" xfId="0" applyFont="1" applyFill="1" applyBorder="1" applyAlignment="1">
      <alignment horizontal="center"/>
    </xf>
    <xf numFmtId="170" fontId="8" fillId="9" borderId="3" xfId="2" applyNumberFormat="1" applyFont="1" applyFill="1" applyBorder="1" applyAlignment="1">
      <alignment horizontal="right"/>
    </xf>
    <xf numFmtId="0" fontId="0" fillId="12" borderId="0" xfId="0" applyFont="1" applyFill="1" applyAlignment="1">
      <alignment horizontal="right"/>
    </xf>
    <xf numFmtId="0" fontId="0" fillId="12" borderId="0" xfId="0" applyFont="1" applyFill="1" applyBorder="1" applyAlignment="1">
      <alignment horizontal="right"/>
    </xf>
    <xf numFmtId="0" fontId="14" fillId="12" borderId="25" xfId="10" applyFont="1" applyFill="1" applyBorder="1" applyAlignment="1">
      <alignment horizontal="right"/>
    </xf>
    <xf numFmtId="0" fontId="14" fillId="12" borderId="26" xfId="10" applyFont="1" applyFill="1" applyBorder="1" applyAlignment="1">
      <alignment horizontal="right"/>
    </xf>
    <xf numFmtId="3" fontId="0" fillId="12" borderId="32" xfId="0" applyNumberFormat="1" applyFont="1" applyFill="1" applyBorder="1"/>
    <xf numFmtId="3" fontId="8" fillId="12" borderId="32" xfId="0" applyNumberFormat="1" applyFont="1" applyFill="1" applyBorder="1"/>
    <xf numFmtId="3" fontId="14" fillId="12" borderId="32" xfId="0" applyNumberFormat="1" applyFont="1" applyFill="1" applyBorder="1"/>
    <xf numFmtId="0" fontId="8" fillId="12" borderId="32" xfId="0" applyFont="1" applyFill="1" applyBorder="1" applyAlignment="1">
      <alignment horizontal="right"/>
    </xf>
    <xf numFmtId="0" fontId="6" fillId="15" borderId="32" xfId="10" applyFont="1" applyFill="1" applyBorder="1" applyAlignment="1">
      <alignment vertical="center"/>
    </xf>
    <xf numFmtId="0" fontId="6" fillId="14" borderId="32" xfId="10" applyFont="1" applyFill="1" applyBorder="1" applyAlignment="1">
      <alignment vertical="center"/>
    </xf>
    <xf numFmtId="0" fontId="6" fillId="14" borderId="32" xfId="10" applyFont="1" applyFill="1" applyBorder="1" applyAlignment="1">
      <alignment vertical="center" wrapText="1"/>
    </xf>
    <xf numFmtId="0" fontId="6" fillId="15" borderId="34" xfId="10" applyFont="1" applyFill="1" applyBorder="1" applyAlignment="1">
      <alignment horizontal="center" wrapText="1"/>
    </xf>
    <xf numFmtId="0" fontId="6" fillId="14" borderId="26" xfId="10" applyFont="1" applyFill="1" applyBorder="1" applyAlignment="1">
      <alignment horizontal="right"/>
    </xf>
    <xf numFmtId="0" fontId="29" fillId="12" borderId="0" xfId="0" applyFont="1" applyFill="1" applyAlignment="1">
      <alignment horizontal="center" vertical="center"/>
    </xf>
    <xf numFmtId="173" fontId="14" fillId="12" borderId="26" xfId="10" applyNumberFormat="1" applyFont="1" applyFill="1" applyBorder="1" applyAlignment="1">
      <alignment horizontal="right"/>
    </xf>
    <xf numFmtId="173" fontId="14" fillId="12" borderId="32" xfId="10" applyNumberFormat="1" applyFont="1" applyFill="1" applyBorder="1" applyAlignment="1">
      <alignment horizontal="right"/>
    </xf>
    <xf numFmtId="174" fontId="14" fillId="11" borderId="32" xfId="10" applyNumberFormat="1" applyFont="1" applyFill="1" applyBorder="1" applyAlignment="1">
      <alignment horizontal="right"/>
    </xf>
    <xf numFmtId="0" fontId="18" fillId="12" borderId="0" xfId="0" applyFont="1" applyFill="1" applyAlignment="1">
      <alignment horizontal="center"/>
    </xf>
    <xf numFmtId="0" fontId="4" fillId="12" borderId="0" xfId="0" applyFont="1" applyFill="1"/>
    <xf numFmtId="173" fontId="0" fillId="12" borderId="0" xfId="0" applyNumberFormat="1" applyFont="1" applyFill="1"/>
    <xf numFmtId="0" fontId="30" fillId="12" borderId="0" xfId="0" applyFont="1" applyFill="1" applyBorder="1" applyAlignment="1">
      <alignment horizontal="right"/>
    </xf>
    <xf numFmtId="173" fontId="30" fillId="12" borderId="0" xfId="0" applyNumberFormat="1" applyFont="1" applyFill="1" applyBorder="1"/>
    <xf numFmtId="0" fontId="30" fillId="12" borderId="0" xfId="0" applyFont="1" applyFill="1" applyBorder="1" applyAlignment="1">
      <alignment horizontal="right" wrapText="1"/>
    </xf>
    <xf numFmtId="173" fontId="30" fillId="12" borderId="0" xfId="10" applyNumberFormat="1" applyFont="1" applyFill="1" applyBorder="1" applyAlignment="1"/>
    <xf numFmtId="0" fontId="4" fillId="12" borderId="0" xfId="0" applyFont="1" applyFill="1" applyAlignment="1">
      <alignment horizontal="center"/>
    </xf>
    <xf numFmtId="3" fontId="26" fillId="0" borderId="0" xfId="0" applyNumberFormat="1" applyFont="1" applyFill="1" applyAlignment="1">
      <alignment horizontal="right"/>
    </xf>
    <xf numFmtId="0" fontId="4" fillId="12" borderId="0" xfId="0" applyFont="1" applyFill="1" applyAlignment="1">
      <alignment horizontal="right"/>
    </xf>
    <xf numFmtId="0" fontId="0" fillId="12" borderId="0" xfId="0" applyFont="1" applyFill="1" applyAlignment="1">
      <alignment horizontal="center"/>
    </xf>
    <xf numFmtId="2" fontId="14" fillId="0" borderId="32" xfId="10" applyNumberFormat="1" applyFont="1" applyFill="1" applyBorder="1" applyAlignment="1">
      <alignment vertical="center"/>
    </xf>
    <xf numFmtId="0" fontId="32" fillId="0" borderId="0" xfId="0" applyFont="1"/>
    <xf numFmtId="0" fontId="3" fillId="17" borderId="36" xfId="0" applyFont="1" applyFill="1" applyBorder="1" applyAlignment="1">
      <alignment horizontal="center" wrapText="1"/>
    </xf>
    <xf numFmtId="0" fontId="5" fillId="0" borderId="36" xfId="0" applyFont="1" applyBorder="1" applyAlignment="1">
      <alignment horizontal="center" wrapText="1"/>
    </xf>
    <xf numFmtId="0" fontId="0" fillId="0" borderId="32" xfId="0" applyBorder="1"/>
    <xf numFmtId="2" fontId="0" fillId="12" borderId="32" xfId="0" applyNumberFormat="1" applyFill="1" applyBorder="1"/>
    <xf numFmtId="2" fontId="0" fillId="18" borderId="32" xfId="0" applyNumberFormat="1" applyFill="1" applyBorder="1"/>
    <xf numFmtId="0" fontId="5" fillId="0" borderId="0" xfId="0" applyFont="1" applyAlignment="1">
      <alignment vertical="center" wrapText="1"/>
    </xf>
    <xf numFmtId="3" fontId="0" fillId="0" borderId="32" xfId="0" applyNumberFormat="1" applyBorder="1"/>
    <xf numFmtId="3" fontId="0" fillId="0" borderId="32" xfId="0" applyNumberFormat="1" applyFont="1" applyFill="1" applyBorder="1"/>
    <xf numFmtId="0" fontId="3" fillId="17" borderId="0" xfId="0" applyFont="1" applyFill="1" applyBorder="1" applyAlignment="1">
      <alignment horizontal="center" wrapText="1"/>
    </xf>
    <xf numFmtId="0" fontId="0" fillId="0" borderId="33" xfId="0" applyBorder="1"/>
    <xf numFmtId="0" fontId="0" fillId="18" borderId="0" xfId="0" applyFill="1"/>
    <xf numFmtId="0" fontId="0" fillId="18" borderId="33" xfId="0" applyFont="1" applyFill="1" applyBorder="1"/>
    <xf numFmtId="0" fontId="0" fillId="18" borderId="32" xfId="0" applyFont="1" applyFill="1" applyBorder="1"/>
    <xf numFmtId="2" fontId="0" fillId="18" borderId="32" xfId="0" applyNumberFormat="1" applyFont="1" applyFill="1" applyBorder="1"/>
    <xf numFmtId="175" fontId="0" fillId="18" borderId="32" xfId="0" applyNumberFormat="1" applyFont="1" applyFill="1" applyBorder="1"/>
    <xf numFmtId="174" fontId="30" fillId="12" borderId="0" xfId="10" applyNumberFormat="1" applyFont="1" applyFill="1" applyBorder="1" applyAlignment="1"/>
    <xf numFmtId="181" fontId="30" fillId="12" borderId="0" xfId="10" applyNumberFormat="1" applyFont="1" applyFill="1" applyBorder="1" applyAlignment="1"/>
    <xf numFmtId="1" fontId="14" fillId="0" borderId="32" xfId="0" applyNumberFormat="1" applyFont="1" applyFill="1" applyBorder="1" applyAlignment="1">
      <alignment horizontal="right"/>
    </xf>
    <xf numFmtId="0" fontId="6" fillId="14" borderId="26" xfId="10" applyFont="1" applyFill="1" applyBorder="1" applyAlignment="1">
      <alignment horizontal="center" wrapText="1"/>
    </xf>
    <xf numFmtId="0" fontId="29" fillId="12" borderId="0" xfId="10" applyFont="1" applyFill="1" applyAlignment="1">
      <alignment horizontal="right"/>
    </xf>
    <xf numFmtId="1" fontId="0" fillId="12" borderId="0" xfId="0" applyNumberFormat="1" applyFont="1" applyFill="1"/>
    <xf numFmtId="0" fontId="14" fillId="5" borderId="32" xfId="0" applyFont="1" applyFill="1" applyBorder="1" applyAlignment="1">
      <alignment horizontal="center"/>
    </xf>
    <xf numFmtId="173" fontId="5" fillId="12" borderId="0" xfId="10" applyNumberFormat="1" applyFont="1" applyFill="1" applyBorder="1" applyAlignment="1">
      <alignment horizontal="right"/>
    </xf>
    <xf numFmtId="0" fontId="14" fillId="12" borderId="24" xfId="10" applyFont="1" applyFill="1" applyBorder="1" applyAlignment="1">
      <alignment horizontal="right"/>
    </xf>
    <xf numFmtId="2" fontId="14" fillId="0" borderId="32" xfId="10" applyNumberFormat="1" applyFont="1" applyFill="1" applyBorder="1" applyAlignment="1">
      <alignment horizontal="right" vertical="center"/>
    </xf>
    <xf numFmtId="0" fontId="0" fillId="0" borderId="33" xfId="0" applyBorder="1" applyAlignment="1">
      <alignment horizontal="right"/>
    </xf>
    <xf numFmtId="173" fontId="8" fillId="0" borderId="32" xfId="10" applyNumberFormat="1" applyFont="1" applyFill="1" applyBorder="1" applyAlignment="1">
      <alignment horizontal="right"/>
    </xf>
    <xf numFmtId="173" fontId="5" fillId="0" borderId="32" xfId="10" applyNumberFormat="1" applyFont="1" applyFill="1" applyBorder="1" applyAlignment="1"/>
    <xf numFmtId="0" fontId="6" fillId="15" borderId="47" xfId="10" applyFont="1" applyFill="1" applyBorder="1" applyAlignment="1">
      <alignment horizontal="left" wrapText="1"/>
    </xf>
    <xf numFmtId="0" fontId="6" fillId="15" borderId="47" xfId="10" applyFont="1" applyFill="1" applyBorder="1" applyAlignment="1">
      <alignment horizontal="right" wrapText="1"/>
    </xf>
    <xf numFmtId="0" fontId="6" fillId="15" borderId="32" xfId="10" applyFont="1" applyFill="1" applyBorder="1" applyAlignment="1">
      <alignment horizontal="left" vertical="center"/>
    </xf>
    <xf numFmtId="0" fontId="6" fillId="15" borderId="32" xfId="10" applyFont="1" applyFill="1" applyBorder="1" applyAlignment="1">
      <alignment horizontal="right" vertical="center"/>
    </xf>
    <xf numFmtId="3" fontId="14" fillId="12" borderId="26" xfId="0" applyNumberFormat="1" applyFont="1" applyFill="1" applyBorder="1" applyAlignment="1"/>
    <xf numFmtId="0" fontId="14" fillId="12" borderId="48" xfId="10" applyFont="1" applyFill="1" applyBorder="1" applyAlignment="1">
      <alignment horizontal="right"/>
    </xf>
    <xf numFmtId="0" fontId="14" fillId="12" borderId="49" xfId="10" applyFont="1" applyFill="1" applyBorder="1" applyAlignment="1">
      <alignment horizontal="right"/>
    </xf>
    <xf numFmtId="0" fontId="14" fillId="12" borderId="46" xfId="10" applyFont="1" applyFill="1" applyBorder="1" applyAlignment="1">
      <alignment horizontal="right"/>
    </xf>
    <xf numFmtId="3" fontId="8" fillId="12" borderId="26" xfId="0" applyNumberFormat="1" applyFont="1" applyFill="1" applyBorder="1"/>
    <xf numFmtId="0" fontId="6" fillId="14" borderId="25" xfId="10" applyFont="1" applyFill="1" applyBorder="1" applyAlignment="1">
      <alignment horizontal="right"/>
    </xf>
    <xf numFmtId="0" fontId="6" fillId="14" borderId="24" xfId="10" applyFont="1" applyFill="1" applyBorder="1" applyAlignment="1">
      <alignment horizontal="right"/>
    </xf>
    <xf numFmtId="0" fontId="6" fillId="14" borderId="48" xfId="10" applyFont="1" applyFill="1" applyBorder="1" applyAlignment="1">
      <alignment horizontal="right"/>
    </xf>
    <xf numFmtId="0" fontId="6" fillId="14" borderId="49" xfId="10" applyFont="1" applyFill="1" applyBorder="1" applyAlignment="1">
      <alignment horizontal="right"/>
    </xf>
    <xf numFmtId="0" fontId="6" fillId="14" borderId="46" xfId="10" applyFont="1" applyFill="1" applyBorder="1" applyAlignment="1">
      <alignment horizontal="right"/>
    </xf>
    <xf numFmtId="3" fontId="14" fillId="12" borderId="26" xfId="0" applyNumberFormat="1" applyFont="1" applyFill="1" applyBorder="1"/>
    <xf numFmtId="3" fontId="4" fillId="0" borderId="0" xfId="0" applyNumberFormat="1" applyFont="1" applyFill="1"/>
    <xf numFmtId="0" fontId="4" fillId="0" borderId="0" xfId="0" applyFont="1" applyFill="1"/>
    <xf numFmtId="0" fontId="3" fillId="17" borderId="51" xfId="0" applyFont="1" applyFill="1" applyBorder="1" applyAlignment="1">
      <alignment horizontal="center" vertical="center" wrapText="1"/>
    </xf>
    <xf numFmtId="9" fontId="0" fillId="0" borderId="0" xfId="2" quotePrefix="1" applyFont="1" applyFill="1"/>
    <xf numFmtId="9" fontId="0" fillId="0" borderId="0" xfId="0" applyNumberFormat="1" applyFill="1"/>
    <xf numFmtId="0" fontId="0" fillId="0" borderId="0" xfId="0" applyFill="1" applyAlignment="1"/>
    <xf numFmtId="9" fontId="0" fillId="0" borderId="0" xfId="2" quotePrefix="1" applyFont="1"/>
    <xf numFmtId="9" fontId="0" fillId="0" borderId="0" xfId="0" applyNumberFormat="1"/>
    <xf numFmtId="182" fontId="62" fillId="0" borderId="0" xfId="104" applyNumberFormat="1" applyFill="1" applyBorder="1"/>
    <xf numFmtId="0" fontId="0" fillId="0" borderId="0" xfId="0" applyAlignment="1">
      <alignment vertical="center"/>
    </xf>
    <xf numFmtId="4" fontId="0" fillId="18" borderId="0" xfId="0" applyNumberFormat="1" applyFont="1" applyFill="1" applyBorder="1"/>
    <xf numFmtId="0" fontId="3" fillId="17" borderId="53" xfId="0" applyFont="1" applyFill="1" applyBorder="1" applyAlignment="1">
      <alignment horizontal="left" wrapText="1"/>
    </xf>
    <xf numFmtId="3" fontId="0" fillId="0" borderId="66" xfId="0" applyNumberFormat="1" applyFont="1" applyFill="1" applyBorder="1"/>
    <xf numFmtId="2" fontId="14" fillId="18" borderId="58" xfId="0" applyNumberFormat="1" applyFont="1" applyFill="1" applyBorder="1"/>
    <xf numFmtId="4" fontId="0" fillId="0" borderId="57" xfId="0" applyNumberFormat="1" applyBorder="1"/>
    <xf numFmtId="2" fontId="14" fillId="18" borderId="64" xfId="0" applyNumberFormat="1" applyFont="1" applyFill="1" applyBorder="1"/>
    <xf numFmtId="4" fontId="0" fillId="0" borderId="63" xfId="0" applyNumberFormat="1" applyBorder="1"/>
    <xf numFmtId="4" fontId="0" fillId="0" borderId="70" xfId="0" applyNumberFormat="1" applyBorder="1"/>
    <xf numFmtId="0" fontId="3" fillId="17" borderId="0" xfId="0" applyFont="1" applyFill="1" applyBorder="1" applyAlignment="1">
      <alignment horizontal="left" wrapText="1"/>
    </xf>
    <xf numFmtId="2" fontId="14" fillId="18" borderId="60" xfId="0" applyNumberFormat="1" applyFont="1" applyFill="1" applyBorder="1"/>
    <xf numFmtId="4" fontId="0" fillId="0" borderId="58" xfId="0" applyNumberFormat="1" applyBorder="1"/>
    <xf numFmtId="4" fontId="0" fillId="0" borderId="0" xfId="0" applyNumberFormat="1"/>
    <xf numFmtId="0" fontId="64" fillId="0" borderId="0" xfId="0" applyFont="1" applyAlignment="1">
      <alignment horizontal="right"/>
    </xf>
    <xf numFmtId="0" fontId="0" fillId="0" borderId="0" xfId="0" applyAlignment="1"/>
    <xf numFmtId="0" fontId="65" fillId="0" borderId="0" xfId="0" applyFont="1"/>
    <xf numFmtId="0" fontId="3" fillId="17" borderId="54" xfId="0" applyFont="1" applyFill="1" applyBorder="1" applyAlignment="1">
      <alignment wrapText="1"/>
    </xf>
    <xf numFmtId="0" fontId="0" fillId="0" borderId="0" xfId="0" applyAlignment="1">
      <alignment wrapText="1"/>
    </xf>
    <xf numFmtId="0" fontId="14" fillId="0" borderId="82" xfId="0" applyFont="1" applyFill="1" applyBorder="1" applyAlignment="1">
      <alignment vertical="center"/>
    </xf>
    <xf numFmtId="3" fontId="14" fillId="0" borderId="32" xfId="0" applyNumberFormat="1" applyFont="1" applyFill="1" applyBorder="1" applyAlignment="1">
      <alignment wrapText="1"/>
    </xf>
    <xf numFmtId="0" fontId="0" fillId="0" borderId="63" xfId="0" applyBorder="1"/>
    <xf numFmtId="3" fontId="14" fillId="0" borderId="63" xfId="0" applyNumberFormat="1" applyFont="1" applyFill="1" applyBorder="1" applyAlignment="1">
      <alignment wrapText="1"/>
    </xf>
    <xf numFmtId="0" fontId="3" fillId="0" borderId="51" xfId="0" applyFont="1" applyFill="1" applyBorder="1" applyAlignment="1">
      <alignment wrapText="1"/>
    </xf>
    <xf numFmtId="0" fontId="3" fillId="0" borderId="50" xfId="0" applyFont="1" applyFill="1" applyBorder="1" applyAlignment="1">
      <alignment wrapText="1"/>
    </xf>
    <xf numFmtId="0" fontId="0" fillId="0" borderId="57" xfId="0" applyBorder="1"/>
    <xf numFmtId="3" fontId="14" fillId="0" borderId="57" xfId="0" applyNumberFormat="1" applyFont="1" applyFill="1" applyBorder="1" applyAlignment="1">
      <alignment wrapText="1"/>
    </xf>
    <xf numFmtId="0" fontId="0" fillId="0" borderId="70" xfId="0" applyBorder="1"/>
    <xf numFmtId="0" fontId="0" fillId="0" borderId="72" xfId="0" applyBorder="1"/>
    <xf numFmtId="0" fontId="0" fillId="0" borderId="82" xfId="0" applyBorder="1"/>
    <xf numFmtId="169" fontId="0" fillId="0" borderId="0" xfId="0" applyNumberFormat="1" applyFill="1"/>
    <xf numFmtId="1" fontId="0" fillId="0" borderId="0" xfId="0" applyNumberFormat="1" applyFill="1" applyAlignment="1">
      <alignment horizontal="center"/>
    </xf>
    <xf numFmtId="9" fontId="0" fillId="0" borderId="0" xfId="2" applyFont="1"/>
    <xf numFmtId="0" fontId="5" fillId="0" borderId="0" xfId="0" applyFont="1" applyAlignment="1">
      <alignment horizontal="right" vertical="center"/>
    </xf>
    <xf numFmtId="0" fontId="30" fillId="0" borderId="0" xfId="0" applyFont="1"/>
    <xf numFmtId="0" fontId="30" fillId="0" borderId="0" xfId="0" applyFont="1" applyAlignment="1">
      <alignment horizontal="right"/>
    </xf>
    <xf numFmtId="170" fontId="5" fillId="0" borderId="22" xfId="2" applyNumberFormat="1" applyFont="1" applyBorder="1" applyAlignment="1">
      <alignment vertical="center"/>
    </xf>
    <xf numFmtId="0" fontId="3" fillId="17" borderId="50" xfId="0" applyFont="1" applyFill="1" applyBorder="1" applyAlignment="1">
      <alignment horizontal="center" vertical="center" wrapText="1"/>
    </xf>
    <xf numFmtId="0" fontId="3" fillId="17" borderId="0" xfId="0" applyFont="1" applyFill="1" applyBorder="1" applyAlignment="1">
      <alignment horizontal="center" vertical="center" wrapText="1"/>
    </xf>
    <xf numFmtId="0" fontId="3" fillId="17" borderId="61" xfId="0" applyFont="1" applyFill="1" applyBorder="1" applyAlignment="1">
      <alignment wrapText="1"/>
    </xf>
    <xf numFmtId="0" fontId="3" fillId="17" borderId="53" xfId="0" applyFont="1" applyFill="1" applyBorder="1" applyAlignment="1">
      <alignment horizontal="center" wrapText="1"/>
    </xf>
    <xf numFmtId="0" fontId="3" fillId="17" borderId="65" xfId="0" applyFont="1" applyFill="1" applyBorder="1" applyAlignment="1">
      <alignment horizontal="center" wrapText="1"/>
    </xf>
    <xf numFmtId="0" fontId="3" fillId="17" borderId="54" xfId="0" applyFont="1" applyFill="1" applyBorder="1" applyAlignment="1">
      <alignment horizontal="center" wrapText="1"/>
    </xf>
    <xf numFmtId="2" fontId="14" fillId="18" borderId="70" xfId="0" applyNumberFormat="1" applyFont="1" applyFill="1" applyBorder="1"/>
    <xf numFmtId="2" fontId="14" fillId="18" borderId="72" xfId="0" applyNumberFormat="1" applyFont="1" applyFill="1" applyBorder="1"/>
    <xf numFmtId="2" fontId="14" fillId="18" borderId="82" xfId="0" applyNumberFormat="1" applyFont="1" applyFill="1" applyBorder="1"/>
    <xf numFmtId="0" fontId="14" fillId="0" borderId="70" xfId="0" applyFont="1" applyFill="1" applyBorder="1" applyAlignment="1">
      <alignment wrapText="1"/>
    </xf>
    <xf numFmtId="0" fontId="3" fillId="0" borderId="0" xfId="0" applyFont="1" applyFill="1" applyAlignment="1">
      <alignment horizontal="center" vertical="center" wrapText="1"/>
    </xf>
    <xf numFmtId="0" fontId="3" fillId="0" borderId="50" xfId="0" applyFont="1" applyFill="1" applyBorder="1" applyAlignment="1">
      <alignment vertical="center" wrapText="1"/>
    </xf>
    <xf numFmtId="0" fontId="3" fillId="0" borderId="52" xfId="0" applyFont="1" applyFill="1" applyBorder="1" applyAlignment="1">
      <alignment vertical="center" wrapText="1"/>
    </xf>
    <xf numFmtId="10" fontId="0" fillId="0" borderId="0" xfId="2" applyNumberFormat="1" applyFont="1" applyFill="1"/>
    <xf numFmtId="0" fontId="0" fillId="0" borderId="0" xfId="0"/>
    <xf numFmtId="2" fontId="0" fillId="0" borderId="0" xfId="0" applyNumberFormat="1" applyFill="1"/>
    <xf numFmtId="183" fontId="5" fillId="0" borderId="49" xfId="0" applyNumberFormat="1" applyFont="1" applyBorder="1"/>
    <xf numFmtId="0" fontId="5" fillId="0" borderId="0" xfId="0" applyFont="1" applyBorder="1" applyAlignment="1">
      <alignment horizontal="right"/>
    </xf>
    <xf numFmtId="183" fontId="5" fillId="0" borderId="0" xfId="0" applyNumberFormat="1" applyFont="1" applyBorder="1"/>
    <xf numFmtId="184" fontId="0" fillId="18" borderId="0" xfId="0" applyNumberFormat="1" applyFill="1"/>
    <xf numFmtId="9" fontId="0" fillId="18" borderId="0" xfId="0" applyNumberFormat="1" applyFill="1"/>
    <xf numFmtId="184" fontId="5" fillId="0" borderId="0" xfId="0" applyNumberFormat="1" applyFont="1" applyFill="1"/>
    <xf numFmtId="184" fontId="0" fillId="0" borderId="0" xfId="0" applyNumberFormat="1" applyFill="1"/>
    <xf numFmtId="0" fontId="3" fillId="17" borderId="0" xfId="0" applyFont="1" applyFill="1"/>
    <xf numFmtId="183" fontId="3" fillId="17" borderId="0" xfId="0" applyNumberFormat="1" applyFont="1" applyFill="1"/>
    <xf numFmtId="183" fontId="0" fillId="0" borderId="0" xfId="0" applyNumberFormat="1"/>
    <xf numFmtId="0" fontId="68" fillId="0" borderId="0" xfId="0" applyFont="1"/>
    <xf numFmtId="183" fontId="0" fillId="0" borderId="0" xfId="0" applyNumberFormat="1" applyFont="1" applyFill="1"/>
    <xf numFmtId="4" fontId="5" fillId="9" borderId="31" xfId="0" applyNumberFormat="1" applyFont="1" applyFill="1" applyBorder="1"/>
    <xf numFmtId="0" fontId="5" fillId="0" borderId="2" xfId="0" applyFont="1" applyBorder="1"/>
    <xf numFmtId="9" fontId="0" fillId="47" borderId="30" xfId="2" applyFont="1" applyFill="1" applyBorder="1"/>
    <xf numFmtId="9" fontId="0" fillId="47" borderId="36" xfId="2" applyFont="1" applyFill="1" applyBorder="1"/>
    <xf numFmtId="0" fontId="0" fillId="47" borderId="36" xfId="0" applyFill="1" applyBorder="1"/>
    <xf numFmtId="0" fontId="0" fillId="47" borderId="29" xfId="0" applyFill="1" applyBorder="1"/>
    <xf numFmtId="2" fontId="0" fillId="47" borderId="78" xfId="0" applyNumberFormat="1" applyFill="1" applyBorder="1"/>
    <xf numFmtId="2" fontId="0" fillId="47" borderId="49" xfId="0" applyNumberFormat="1" applyFill="1" applyBorder="1"/>
    <xf numFmtId="0" fontId="17" fillId="47" borderId="79" xfId="0" applyFont="1" applyFill="1" applyBorder="1"/>
    <xf numFmtId="2" fontId="17" fillId="0" borderId="20" xfId="0" applyNumberFormat="1" applyFont="1" applyFill="1" applyBorder="1"/>
    <xf numFmtId="2" fontId="17" fillId="0" borderId="36" xfId="0" applyNumberFormat="1" applyFont="1" applyFill="1" applyBorder="1"/>
    <xf numFmtId="2" fontId="17" fillId="0" borderId="81" xfId="0" applyNumberFormat="1" applyFont="1" applyFill="1" applyBorder="1" applyAlignment="1">
      <alignment horizontal="right"/>
    </xf>
    <xf numFmtId="0" fontId="17" fillId="0" borderId="20" xfId="0" applyFont="1" applyFill="1" applyBorder="1"/>
    <xf numFmtId="2" fontId="17" fillId="0" borderId="11" xfId="0" applyNumberFormat="1" applyFont="1" applyFill="1" applyBorder="1"/>
    <xf numFmtId="2" fontId="17" fillId="0" borderId="0" xfId="0" applyNumberFormat="1" applyFont="1" applyFill="1" applyBorder="1"/>
    <xf numFmtId="2" fontId="17" fillId="0" borderId="83" xfId="0" applyNumberFormat="1" applyFont="1" applyFill="1" applyBorder="1"/>
    <xf numFmtId="0" fontId="17" fillId="0" borderId="11" xfId="0" applyFont="1" applyFill="1" applyBorder="1"/>
    <xf numFmtId="0" fontId="17" fillId="0" borderId="11" xfId="0" applyFont="1" applyFill="1" applyBorder="1" applyAlignment="1">
      <alignment horizontal="right"/>
    </xf>
    <xf numFmtId="0" fontId="17" fillId="0" borderId="0" xfId="0" applyFont="1" applyFill="1" applyBorder="1" applyAlignment="1">
      <alignment horizontal="right"/>
    </xf>
    <xf numFmtId="2" fontId="17" fillId="0" borderId="83" xfId="0" applyNumberFormat="1" applyFont="1" applyFill="1" applyBorder="1" applyAlignment="1">
      <alignment horizontal="right"/>
    </xf>
    <xf numFmtId="2" fontId="17" fillId="0" borderId="77" xfId="0" applyNumberFormat="1" applyFont="1" applyFill="1" applyBorder="1"/>
    <xf numFmtId="2" fontId="17" fillId="0" borderId="49" xfId="0" applyNumberFormat="1" applyFont="1" applyFill="1" applyBorder="1"/>
    <xf numFmtId="2" fontId="17" fillId="0" borderId="80" xfId="0" applyNumberFormat="1" applyFont="1" applyFill="1" applyBorder="1"/>
    <xf numFmtId="0" fontId="17" fillId="0" borderId="59" xfId="0" applyFont="1" applyFill="1" applyBorder="1"/>
    <xf numFmtId="0" fontId="17" fillId="0" borderId="24" xfId="0" applyFont="1" applyFill="1" applyBorder="1"/>
    <xf numFmtId="0" fontId="17" fillId="0" borderId="82" xfId="0" applyFont="1" applyFill="1" applyBorder="1"/>
    <xf numFmtId="0" fontId="69" fillId="0" borderId="82" xfId="0" applyFont="1" applyFill="1" applyBorder="1"/>
    <xf numFmtId="0" fontId="69" fillId="0" borderId="59" xfId="0" applyFont="1" applyFill="1" applyBorder="1"/>
    <xf numFmtId="0" fontId="17" fillId="0" borderId="84" xfId="0" applyFont="1" applyFill="1" applyBorder="1" applyAlignment="1">
      <alignment horizontal="right"/>
    </xf>
    <xf numFmtId="0" fontId="17" fillId="0" borderId="36" xfId="0" applyFont="1" applyFill="1" applyBorder="1" applyAlignment="1">
      <alignment horizontal="right"/>
    </xf>
    <xf numFmtId="0" fontId="17" fillId="0" borderId="84" xfId="0" applyFont="1" applyFill="1" applyBorder="1"/>
    <xf numFmtId="0" fontId="17" fillId="0" borderId="59" xfId="0" applyFont="1" applyFill="1" applyBorder="1" applyAlignment="1">
      <alignment horizontal="center"/>
    </xf>
    <xf numFmtId="0" fontId="17" fillId="0" borderId="24" xfId="0" applyFont="1" applyFill="1" applyBorder="1" applyAlignment="1">
      <alignment horizontal="center"/>
    </xf>
    <xf numFmtId="0" fontId="17" fillId="0" borderId="82" xfId="0" applyFont="1" applyFill="1" applyBorder="1" applyAlignment="1">
      <alignment horizontal="center"/>
    </xf>
    <xf numFmtId="0" fontId="17" fillId="0" borderId="56" xfId="0" applyFont="1" applyFill="1" applyBorder="1" applyAlignment="1">
      <alignment horizontal="center"/>
    </xf>
    <xf numFmtId="0" fontId="17" fillId="0" borderId="81" xfId="0" applyFont="1" applyFill="1" applyBorder="1" applyAlignment="1">
      <alignment horizontal="center"/>
    </xf>
    <xf numFmtId="0" fontId="17" fillId="0" borderId="56" xfId="0" applyFont="1" applyFill="1" applyBorder="1"/>
    <xf numFmtId="14" fontId="69" fillId="0" borderId="78" xfId="0" applyNumberFormat="1" applyFont="1" applyFill="1" applyBorder="1" applyAlignment="1">
      <alignment horizontal="left"/>
    </xf>
    <xf numFmtId="0" fontId="69" fillId="0" borderId="24" xfId="0" applyFont="1" applyFill="1" applyBorder="1" applyAlignment="1">
      <alignment horizontal="right"/>
    </xf>
    <xf numFmtId="0" fontId="69" fillId="0" borderId="24" xfId="0" applyFont="1" applyFill="1" applyBorder="1" applyAlignment="1">
      <alignment horizontal="left"/>
    </xf>
    <xf numFmtId="0" fontId="69" fillId="18" borderId="49" xfId="0" applyFont="1" applyFill="1" applyBorder="1" applyAlignment="1">
      <alignment horizontal="left"/>
    </xf>
    <xf numFmtId="0" fontId="69" fillId="0" borderId="24" xfId="0" applyFont="1" applyFill="1" applyBorder="1"/>
    <xf numFmtId="0" fontId="69" fillId="0" borderId="79" xfId="0" applyFont="1" applyFill="1" applyBorder="1"/>
    <xf numFmtId="0" fontId="0" fillId="48" borderId="20" xfId="0" applyFill="1" applyBorder="1"/>
    <xf numFmtId="0" fontId="0" fillId="48" borderId="36" xfId="0" applyFill="1" applyBorder="1"/>
    <xf numFmtId="0" fontId="0" fillId="48" borderId="81" xfId="0" applyFill="1" applyBorder="1" applyAlignment="1">
      <alignment horizontal="right"/>
    </xf>
    <xf numFmtId="0" fontId="0" fillId="48" borderId="11" xfId="0" applyFill="1" applyBorder="1"/>
    <xf numFmtId="0" fontId="0" fillId="48" borderId="0" xfId="0" applyFill="1" applyBorder="1"/>
    <xf numFmtId="0" fontId="0" fillId="48" borderId="83" xfId="0" applyFill="1" applyBorder="1"/>
    <xf numFmtId="2" fontId="0" fillId="48" borderId="83" xfId="0" applyNumberFormat="1" applyFill="1" applyBorder="1"/>
    <xf numFmtId="0" fontId="0" fillId="0" borderId="0" xfId="0" applyFill="1" applyBorder="1" applyAlignment="1"/>
    <xf numFmtId="0" fontId="0" fillId="0" borderId="10" xfId="0" applyFill="1" applyBorder="1" applyAlignment="1"/>
    <xf numFmtId="0" fontId="0" fillId="48" borderId="11" xfId="0" applyFill="1" applyBorder="1" applyAlignment="1">
      <alignment horizontal="right"/>
    </xf>
    <xf numFmtId="0" fontId="0" fillId="48" borderId="0" xfId="0" applyFill="1" applyBorder="1" applyAlignment="1">
      <alignment horizontal="right"/>
    </xf>
    <xf numFmtId="2" fontId="0" fillId="48" borderId="83" xfId="0" applyNumberFormat="1" applyFill="1" applyBorder="1" applyAlignment="1">
      <alignment horizontal="right"/>
    </xf>
    <xf numFmtId="0" fontId="0" fillId="48" borderId="83" xfId="0" applyFill="1" applyBorder="1" applyAlignment="1">
      <alignment horizontal="right"/>
    </xf>
    <xf numFmtId="0" fontId="0" fillId="48" borderId="59" xfId="0" applyFill="1" applyBorder="1"/>
    <xf numFmtId="0" fontId="0" fillId="48" borderId="24" xfId="0" applyFill="1" applyBorder="1"/>
    <xf numFmtId="0" fontId="0" fillId="48" borderId="82" xfId="0" applyFill="1" applyBorder="1"/>
    <xf numFmtId="0" fontId="5" fillId="48" borderId="82" xfId="0" applyFont="1" applyFill="1" applyBorder="1"/>
    <xf numFmtId="0" fontId="5" fillId="48" borderId="59" xfId="0" applyFont="1" applyFill="1" applyBorder="1"/>
    <xf numFmtId="0" fontId="0" fillId="48" borderId="84" xfId="0" applyFill="1" applyBorder="1" applyAlignment="1">
      <alignment horizontal="right"/>
    </xf>
    <xf numFmtId="0" fontId="0" fillId="48" borderId="36" xfId="0" applyFill="1" applyBorder="1" applyAlignment="1">
      <alignment horizontal="right"/>
    </xf>
    <xf numFmtId="0" fontId="0" fillId="48" borderId="84" xfId="0" applyFill="1" applyBorder="1"/>
    <xf numFmtId="0" fontId="0" fillId="48" borderId="59" xfId="0" applyFill="1" applyBorder="1" applyAlignment="1">
      <alignment horizontal="center"/>
    </xf>
    <xf numFmtId="0" fontId="0" fillId="48" borderId="24" xfId="0" applyFill="1" applyBorder="1" applyAlignment="1">
      <alignment horizontal="center"/>
    </xf>
    <xf numFmtId="0" fontId="0" fillId="48" borderId="82" xfId="0" applyFill="1" applyBorder="1" applyAlignment="1">
      <alignment horizontal="center"/>
    </xf>
    <xf numFmtId="0" fontId="0" fillId="48" borderId="82" xfId="0" applyFont="1" applyFill="1" applyBorder="1" applyAlignment="1">
      <alignment horizontal="center"/>
    </xf>
    <xf numFmtId="0" fontId="0" fillId="48" borderId="56" xfId="0" applyFill="1" applyBorder="1" applyAlignment="1">
      <alignment horizontal="center"/>
    </xf>
    <xf numFmtId="0" fontId="0" fillId="48" borderId="81" xfId="0" applyFill="1" applyBorder="1" applyAlignment="1">
      <alignment horizontal="center"/>
    </xf>
    <xf numFmtId="0" fontId="0" fillId="48" borderId="56" xfId="0" applyFill="1" applyBorder="1"/>
    <xf numFmtId="0" fontId="0" fillId="0" borderId="36" xfId="0" applyBorder="1"/>
    <xf numFmtId="2" fontId="30" fillId="0" borderId="0" xfId="0" applyNumberFormat="1" applyFont="1" applyAlignment="1">
      <alignment horizontal="right"/>
    </xf>
    <xf numFmtId="4" fontId="30" fillId="0" borderId="0" xfId="0" applyNumberFormat="1" applyFont="1" applyAlignment="1">
      <alignment horizontal="right"/>
    </xf>
    <xf numFmtId="10" fontId="8" fillId="9" borderId="3" xfId="2" applyNumberFormat="1" applyFont="1" applyFill="1" applyBorder="1" applyAlignment="1">
      <alignment horizontal="right"/>
    </xf>
    <xf numFmtId="3" fontId="30" fillId="0" borderId="0" xfId="0" applyNumberFormat="1" applyFont="1"/>
    <xf numFmtId="10" fontId="30" fillId="0" borderId="0" xfId="2" applyNumberFormat="1" applyFont="1"/>
    <xf numFmtId="2" fontId="0" fillId="0" borderId="0" xfId="0" applyNumberFormat="1" applyFill="1" applyAlignment="1">
      <alignment horizontal="center"/>
    </xf>
    <xf numFmtId="0" fontId="3" fillId="12" borderId="0" xfId="0" applyFont="1" applyFill="1"/>
    <xf numFmtId="0" fontId="0" fillId="12" borderId="0" xfId="0" applyFill="1"/>
    <xf numFmtId="169" fontId="0" fillId="0" borderId="0" xfId="0" applyNumberFormat="1" applyFill="1" applyAlignment="1">
      <alignment horizontal="center"/>
    </xf>
    <xf numFmtId="185" fontId="0" fillId="0" borderId="0" xfId="0" applyNumberFormat="1" applyFill="1" applyAlignment="1">
      <alignment horizontal="center"/>
    </xf>
    <xf numFmtId="186" fontId="5" fillId="0" borderId="22" xfId="2" applyNumberFormat="1" applyFont="1" applyBorder="1" applyAlignment="1">
      <alignment vertical="center"/>
    </xf>
    <xf numFmtId="9" fontId="0" fillId="12" borderId="0" xfId="2" applyFont="1" applyFill="1"/>
    <xf numFmtId="0" fontId="0" fillId="0" borderId="0" xfId="0" applyFill="1" applyBorder="1" applyAlignment="1">
      <alignment horizontal="center"/>
    </xf>
    <xf numFmtId="3" fontId="8" fillId="0" borderId="0" xfId="3" applyNumberFormat="1" applyFont="1" applyFill="1" applyBorder="1" applyAlignment="1">
      <alignment horizontal="right"/>
    </xf>
    <xf numFmtId="3" fontId="11" fillId="0" borderId="0" xfId="3" applyNumberFormat="1" applyFont="1" applyFill="1" applyBorder="1" applyAlignment="1">
      <alignment horizontal="right"/>
    </xf>
    <xf numFmtId="3" fontId="8" fillId="0" borderId="31" xfId="3" applyNumberFormat="1" applyFont="1" applyFill="1" applyBorder="1" applyAlignment="1">
      <alignment horizontal="right"/>
    </xf>
    <xf numFmtId="0" fontId="3" fillId="0" borderId="0" xfId="0" applyFont="1" applyFill="1" applyAlignment="1">
      <alignment horizontal="center"/>
    </xf>
    <xf numFmtId="0" fontId="3" fillId="0" borderId="0" xfId="0" applyFont="1" applyFill="1"/>
    <xf numFmtId="4" fontId="5" fillId="9" borderId="58" xfId="0" applyNumberFormat="1" applyFont="1" applyFill="1" applyBorder="1" applyAlignment="1">
      <alignment horizontal="right" vertical="center"/>
    </xf>
    <xf numFmtId="0" fontId="3" fillId="17" borderId="0" xfId="0" applyFont="1" applyFill="1" applyBorder="1" applyAlignment="1">
      <alignment horizontal="center" wrapText="1"/>
    </xf>
    <xf numFmtId="0" fontId="3" fillId="17" borderId="54" xfId="0" applyFont="1" applyFill="1" applyBorder="1" applyAlignment="1">
      <alignment horizontal="center" wrapText="1"/>
    </xf>
    <xf numFmtId="0" fontId="3" fillId="17" borderId="5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/>
    </xf>
    <xf numFmtId="0" fontId="6" fillId="0" borderId="0" xfId="10" applyFont="1" applyFill="1" applyBorder="1" applyAlignment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right"/>
    </xf>
    <xf numFmtId="2" fontId="14" fillId="18" borderId="32" xfId="0" applyNumberFormat="1" applyFont="1" applyFill="1" applyBorder="1"/>
    <xf numFmtId="4" fontId="14" fillId="0" borderId="57" xfId="0" applyNumberFormat="1" applyFont="1" applyFill="1" applyBorder="1" applyAlignment="1">
      <alignment wrapText="1"/>
    </xf>
    <xf numFmtId="4" fontId="14" fillId="0" borderId="32" xfId="0" applyNumberFormat="1" applyFont="1" applyFill="1" applyBorder="1" applyAlignment="1">
      <alignment wrapText="1"/>
    </xf>
    <xf numFmtId="3" fontId="14" fillId="0" borderId="32" xfId="0" applyNumberFormat="1" applyFont="1" applyFill="1" applyBorder="1" applyAlignment="1"/>
    <xf numFmtId="4" fontId="8" fillId="45" borderId="32" xfId="0" applyNumberFormat="1" applyFont="1" applyFill="1" applyBorder="1" applyAlignment="1"/>
    <xf numFmtId="3" fontId="0" fillId="0" borderId="32" xfId="0" applyNumberFormat="1" applyBorder="1" applyAlignment="1">
      <alignment horizontal="left" vertical="center"/>
    </xf>
    <xf numFmtId="4" fontId="0" fillId="0" borderId="32" xfId="0" applyNumberFormat="1" applyBorder="1" applyAlignment="1">
      <alignment horizontal="right" vertical="center"/>
    </xf>
    <xf numFmtId="3" fontId="14" fillId="0" borderId="57" xfId="0" applyNumberFormat="1" applyFont="1" applyFill="1" applyBorder="1" applyAlignment="1"/>
    <xf numFmtId="4" fontId="8" fillId="45" borderId="57" xfId="0" applyNumberFormat="1" applyFont="1" applyFill="1" applyBorder="1" applyAlignment="1"/>
    <xf numFmtId="0" fontId="14" fillId="0" borderId="82" xfId="0" applyFont="1" applyFill="1" applyBorder="1" applyAlignment="1">
      <alignment wrapText="1"/>
    </xf>
    <xf numFmtId="4" fontId="14" fillId="0" borderId="63" xfId="0" applyNumberFormat="1" applyFont="1" applyFill="1" applyBorder="1" applyAlignment="1">
      <alignment wrapText="1"/>
    </xf>
    <xf numFmtId="3" fontId="14" fillId="0" borderId="63" xfId="0" applyNumberFormat="1" applyFont="1" applyFill="1" applyBorder="1" applyAlignment="1"/>
    <xf numFmtId="4" fontId="8" fillId="45" borderId="63" xfId="0" applyNumberFormat="1" applyFont="1" applyFill="1" applyBorder="1" applyAlignment="1"/>
    <xf numFmtId="3" fontId="0" fillId="0" borderId="57" xfId="0" applyNumberFormat="1" applyBorder="1" applyAlignment="1">
      <alignment horizontal="left" vertical="center"/>
    </xf>
    <xf numFmtId="4" fontId="0" fillId="0" borderId="57" xfId="0" applyNumberFormat="1" applyBorder="1" applyAlignment="1">
      <alignment horizontal="right" vertical="center"/>
    </xf>
    <xf numFmtId="4" fontId="5" fillId="9" borderId="60" xfId="0" applyNumberFormat="1" applyFont="1" applyFill="1" applyBorder="1" applyAlignment="1">
      <alignment horizontal="right" vertical="center"/>
    </xf>
    <xf numFmtId="3" fontId="0" fillId="0" borderId="63" xfId="0" applyNumberFormat="1" applyBorder="1" applyAlignment="1">
      <alignment horizontal="left" vertical="center"/>
    </xf>
    <xf numFmtId="4" fontId="0" fillId="0" borderId="63" xfId="0" applyNumberFormat="1" applyBorder="1" applyAlignment="1">
      <alignment horizontal="right" vertical="center"/>
    </xf>
    <xf numFmtId="4" fontId="5" fillId="9" borderId="64" xfId="0" applyNumberFormat="1" applyFont="1" applyFill="1" applyBorder="1" applyAlignment="1">
      <alignment horizontal="right" vertical="center"/>
    </xf>
    <xf numFmtId="0" fontId="0" fillId="0" borderId="0" xfId="0" applyFill="1" applyBorder="1" applyAlignment="1">
      <alignment vertical="center"/>
    </xf>
    <xf numFmtId="2" fontId="0" fillId="0" borderId="0" xfId="0" applyNumberFormat="1" applyFill="1" applyBorder="1" applyAlignment="1">
      <alignment vertical="center"/>
    </xf>
    <xf numFmtId="2" fontId="5" fillId="0" borderId="0" xfId="0" applyNumberFormat="1" applyFont="1" applyFill="1" applyBorder="1" applyAlignment="1">
      <alignment vertical="center"/>
    </xf>
    <xf numFmtId="2" fontId="0" fillId="0" borderId="32" xfId="0" applyNumberFormat="1" applyBorder="1" applyAlignment="1">
      <alignment vertical="center"/>
    </xf>
    <xf numFmtId="2" fontId="5" fillId="46" borderId="32" xfId="0" applyNumberFormat="1" applyFont="1" applyFill="1" applyBorder="1" applyAlignment="1">
      <alignment vertical="center"/>
    </xf>
    <xf numFmtId="2" fontId="5" fillId="10" borderId="32" xfId="0" applyNumberFormat="1" applyFont="1" applyFill="1" applyBorder="1" applyAlignment="1">
      <alignment vertical="center"/>
    </xf>
    <xf numFmtId="0" fontId="0" fillId="0" borderId="70" xfId="0" applyBorder="1" applyAlignment="1">
      <alignment vertical="center"/>
    </xf>
    <xf numFmtId="2" fontId="0" fillId="0" borderId="57" xfId="0" applyNumberFormat="1" applyBorder="1" applyAlignment="1">
      <alignment vertical="center"/>
    </xf>
    <xf numFmtId="2" fontId="5" fillId="46" borderId="57" xfId="0" applyNumberFormat="1" applyFont="1" applyFill="1" applyBorder="1" applyAlignment="1">
      <alignment vertical="center"/>
    </xf>
    <xf numFmtId="2" fontId="5" fillId="10" borderId="57" xfId="0" applyNumberFormat="1" applyFont="1" applyFill="1" applyBorder="1" applyAlignment="1">
      <alignment vertical="center"/>
    </xf>
    <xf numFmtId="2" fontId="5" fillId="46" borderId="63" xfId="0" applyNumberFormat="1" applyFont="1" applyFill="1" applyBorder="1" applyAlignment="1">
      <alignment vertical="center"/>
    </xf>
    <xf numFmtId="2" fontId="5" fillId="10" borderId="63" xfId="0" applyNumberFormat="1" applyFont="1" applyFill="1" applyBorder="1" applyAlignment="1">
      <alignment vertical="center"/>
    </xf>
    <xf numFmtId="0" fontId="0" fillId="0" borderId="82" xfId="0" applyBorder="1" applyAlignment="1">
      <alignment vertical="center"/>
    </xf>
    <xf numFmtId="0" fontId="0" fillId="0" borderId="72" xfId="0" applyFill="1" applyBorder="1" applyAlignment="1">
      <alignment vertical="center"/>
    </xf>
    <xf numFmtId="2" fontId="0" fillId="0" borderId="63" xfId="0" applyNumberFormat="1" applyFill="1" applyBorder="1" applyAlignment="1">
      <alignment vertical="center"/>
    </xf>
    <xf numFmtId="4" fontId="0" fillId="0" borderId="32" xfId="0" applyNumberFormat="1" applyBorder="1" applyAlignment="1"/>
    <xf numFmtId="4" fontId="5" fillId="46" borderId="32" xfId="0" applyNumberFormat="1" applyFont="1" applyFill="1" applyBorder="1" applyAlignment="1">
      <alignment horizontal="right" vertical="center"/>
    </xf>
    <xf numFmtId="4" fontId="5" fillId="10" borderId="32" xfId="0" applyNumberFormat="1" applyFont="1" applyFill="1" applyBorder="1" applyAlignment="1">
      <alignment horizontal="right" vertical="center"/>
    </xf>
    <xf numFmtId="4" fontId="5" fillId="10" borderId="32" xfId="0" applyNumberFormat="1" applyFont="1" applyFill="1" applyBorder="1" applyAlignment="1">
      <alignment vertical="center"/>
    </xf>
    <xf numFmtId="3" fontId="0" fillId="0" borderId="70" xfId="0" applyNumberFormat="1" applyBorder="1" applyAlignment="1">
      <alignment horizontal="left"/>
    </xf>
    <xf numFmtId="4" fontId="0" fillId="0" borderId="57" xfId="0" applyNumberFormat="1" applyBorder="1" applyAlignment="1"/>
    <xf numFmtId="4" fontId="5" fillId="46" borderId="57" xfId="0" applyNumberFormat="1" applyFont="1" applyFill="1" applyBorder="1" applyAlignment="1">
      <alignment horizontal="right" vertical="center"/>
    </xf>
    <xf numFmtId="4" fontId="5" fillId="10" borderId="57" xfId="0" applyNumberFormat="1" applyFont="1" applyFill="1" applyBorder="1" applyAlignment="1">
      <alignment horizontal="right" vertical="center"/>
    </xf>
    <xf numFmtId="3" fontId="0" fillId="0" borderId="82" xfId="0" applyNumberFormat="1" applyBorder="1" applyAlignment="1">
      <alignment horizontal="left"/>
    </xf>
    <xf numFmtId="4" fontId="0" fillId="0" borderId="63" xfId="0" applyNumberFormat="1" applyBorder="1" applyAlignment="1"/>
    <xf numFmtId="4" fontId="5" fillId="46" borderId="63" xfId="0" applyNumberFormat="1" applyFont="1" applyFill="1" applyBorder="1" applyAlignment="1">
      <alignment horizontal="right" vertical="center"/>
    </xf>
    <xf numFmtId="0" fontId="3" fillId="17" borderId="90" xfId="0" applyFont="1" applyFill="1" applyBorder="1" applyAlignment="1">
      <alignment horizontal="left" wrapText="1"/>
    </xf>
    <xf numFmtId="0" fontId="3" fillId="17" borderId="91" xfId="0" applyFont="1" applyFill="1" applyBorder="1" applyAlignment="1">
      <alignment horizontal="left" wrapText="1"/>
    </xf>
    <xf numFmtId="2" fontId="14" fillId="18" borderId="57" xfId="0" applyNumberFormat="1" applyFont="1" applyFill="1" applyBorder="1"/>
    <xf numFmtId="2" fontId="14" fillId="18" borderId="63" xfId="0" applyNumberFormat="1" applyFont="1" applyFill="1" applyBorder="1"/>
    <xf numFmtId="4" fontId="0" fillId="0" borderId="70" xfId="0" applyNumberFormat="1" applyFont="1" applyBorder="1"/>
    <xf numFmtId="4" fontId="0" fillId="0" borderId="58" xfId="0" applyNumberFormat="1" applyFont="1" applyBorder="1"/>
    <xf numFmtId="4" fontId="0" fillId="0" borderId="82" xfId="0" applyNumberFormat="1" applyFont="1" applyBorder="1"/>
    <xf numFmtId="4" fontId="0" fillId="0" borderId="60" xfId="0" applyNumberFormat="1" applyFont="1" applyBorder="1"/>
    <xf numFmtId="4" fontId="0" fillId="0" borderId="72" xfId="0" applyNumberFormat="1" applyFont="1" applyBorder="1"/>
    <xf numFmtId="4" fontId="0" fillId="0" borderId="64" xfId="0" applyNumberFormat="1" applyFont="1" applyBorder="1"/>
    <xf numFmtId="4" fontId="0" fillId="0" borderId="72" xfId="0" applyNumberFormat="1" applyBorder="1"/>
    <xf numFmtId="4" fontId="0" fillId="0" borderId="64" xfId="0" applyNumberFormat="1" applyBorder="1"/>
    <xf numFmtId="3" fontId="0" fillId="0" borderId="56" xfId="0" applyNumberFormat="1" applyFill="1" applyBorder="1"/>
    <xf numFmtId="3" fontId="0" fillId="0" borderId="59" xfId="0" applyNumberFormat="1" applyFill="1" applyBorder="1"/>
    <xf numFmtId="3" fontId="0" fillId="0" borderId="62" xfId="0" applyNumberFormat="1" applyFill="1" applyBorder="1"/>
    <xf numFmtId="3" fontId="0" fillId="0" borderId="68" xfId="0" applyNumberFormat="1" applyFont="1" applyFill="1" applyBorder="1"/>
    <xf numFmtId="3" fontId="0" fillId="0" borderId="67" xfId="0" applyNumberFormat="1" applyFont="1" applyFill="1" applyBorder="1"/>
    <xf numFmtId="187" fontId="0" fillId="0" borderId="0" xfId="1" applyNumberFormat="1" applyFont="1" applyFill="1"/>
    <xf numFmtId="15" fontId="7" fillId="0" borderId="0" xfId="4" applyNumberFormat="1" applyFont="1" applyFill="1" applyBorder="1" applyAlignment="1">
      <alignment horizontal="left"/>
    </xf>
    <xf numFmtId="9" fontId="66" fillId="0" borderId="0" xfId="2" applyFont="1" applyFill="1" applyBorder="1" applyAlignment="1">
      <alignment horizontal="center"/>
    </xf>
    <xf numFmtId="4" fontId="5" fillId="10" borderId="63" xfId="0" applyNumberFormat="1" applyFont="1" applyFill="1" applyBorder="1" applyAlignment="1">
      <alignment vertical="center"/>
    </xf>
    <xf numFmtId="2" fontId="8" fillId="0" borderId="16" xfId="3" applyNumberFormat="1" applyFont="1" applyFill="1" applyBorder="1" applyAlignment="1">
      <alignment horizontal="center"/>
    </xf>
    <xf numFmtId="2" fontId="8" fillId="0" borderId="19" xfId="3" applyNumberFormat="1" applyFont="1" applyFill="1" applyBorder="1" applyAlignment="1">
      <alignment horizontal="center"/>
    </xf>
    <xf numFmtId="9" fontId="8" fillId="0" borderId="13" xfId="2" applyFont="1" applyFill="1" applyBorder="1" applyAlignment="1">
      <alignment horizontal="center"/>
    </xf>
    <xf numFmtId="9" fontId="8" fillId="0" borderId="17" xfId="2" applyFont="1" applyFill="1" applyBorder="1" applyAlignment="1">
      <alignment horizontal="center"/>
    </xf>
    <xf numFmtId="167" fontId="0" fillId="0" borderId="0" xfId="9" applyNumberFormat="1" applyFont="1" applyFill="1"/>
    <xf numFmtId="0" fontId="8" fillId="0" borderId="32" xfId="0" applyFont="1" applyFill="1" applyBorder="1" applyAlignment="1">
      <alignment wrapText="1"/>
    </xf>
    <xf numFmtId="43" fontId="0" fillId="0" borderId="32" xfId="1" applyFont="1" applyBorder="1"/>
    <xf numFmtId="0" fontId="8" fillId="0" borderId="95" xfId="0" applyFont="1" applyFill="1" applyBorder="1" applyAlignment="1">
      <alignment wrapText="1"/>
    </xf>
    <xf numFmtId="0" fontId="0" fillId="0" borderId="96" xfId="0" applyBorder="1"/>
    <xf numFmtId="0" fontId="0" fillId="0" borderId="97" xfId="0" applyBorder="1"/>
    <xf numFmtId="0" fontId="0" fillId="0" borderId="27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172" fontId="0" fillId="0" borderId="0" xfId="9" applyNumberFormat="1" applyFont="1" applyFill="1"/>
    <xf numFmtId="9" fontId="14" fillId="12" borderId="0" xfId="2" applyFont="1" applyFill="1"/>
    <xf numFmtId="170" fontId="14" fillId="12" borderId="0" xfId="2" applyNumberFormat="1" applyFont="1" applyFill="1"/>
    <xf numFmtId="0" fontId="3" fillId="18" borderId="0" xfId="0" applyFont="1" applyFill="1"/>
    <xf numFmtId="15" fontId="13" fillId="18" borderId="32" xfId="4" applyNumberFormat="1" applyFont="1" applyFill="1" applyBorder="1" applyAlignment="1">
      <alignment horizontal="center"/>
    </xf>
    <xf numFmtId="2" fontId="14" fillId="0" borderId="0" xfId="0" applyNumberFormat="1" applyFont="1" applyFill="1" applyBorder="1"/>
    <xf numFmtId="2" fontId="19" fillId="0" borderId="0" xfId="0" applyNumberFormat="1" applyFont="1" applyFill="1"/>
    <xf numFmtId="0" fontId="19" fillId="0" borderId="0" xfId="0" applyFont="1" applyFill="1"/>
    <xf numFmtId="0" fontId="18" fillId="0" borderId="0" xfId="0" applyFont="1" applyFill="1" applyAlignment="1">
      <alignment horizontal="center"/>
    </xf>
    <xf numFmtId="0" fontId="21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wrapText="1"/>
    </xf>
    <xf numFmtId="0" fontId="8" fillId="0" borderId="0" xfId="0" applyFont="1" applyFill="1" applyAlignment="1">
      <alignment horizontal="center" wrapText="1"/>
    </xf>
    <xf numFmtId="2" fontId="14" fillId="0" borderId="0" xfId="3" applyNumberFormat="1" applyFont="1" applyFill="1" applyBorder="1" applyAlignment="1">
      <alignment horizontal="right"/>
    </xf>
    <xf numFmtId="0" fontId="18" fillId="0" borderId="0" xfId="0" applyFont="1" applyFill="1" applyBorder="1" applyAlignment="1">
      <alignment horizontal="center"/>
    </xf>
    <xf numFmtId="3" fontId="0" fillId="0" borderId="0" xfId="0" applyNumberFormat="1" applyFill="1" applyAlignment="1">
      <alignment horizontal="right"/>
    </xf>
    <xf numFmtId="0" fontId="0" fillId="0" borderId="0" xfId="0" applyFill="1" applyAlignment="1">
      <alignment horizontal="right"/>
    </xf>
    <xf numFmtId="3" fontId="14" fillId="0" borderId="0" xfId="0" applyNumberFormat="1" applyFont="1" applyFill="1" applyAlignment="1">
      <alignment horizontal="right"/>
    </xf>
    <xf numFmtId="0" fontId="1" fillId="0" borderId="0" xfId="4" applyBorder="1"/>
    <xf numFmtId="0" fontId="12" fillId="0" borderId="0" xfId="4" applyFont="1" applyBorder="1" applyAlignment="1">
      <alignment horizontal="center"/>
    </xf>
    <xf numFmtId="0" fontId="1" fillId="0" borderId="10" xfId="4" applyBorder="1"/>
    <xf numFmtId="0" fontId="12" fillId="0" borderId="0" xfId="0" applyFont="1" applyBorder="1" applyAlignment="1">
      <alignment horizontal="center"/>
    </xf>
    <xf numFmtId="0" fontId="1" fillId="0" borderId="0" xfId="4" applyBorder="1" applyAlignment="1">
      <alignment horizontal="center"/>
    </xf>
    <xf numFmtId="0" fontId="1" fillId="0" borderId="12" xfId="4" applyBorder="1"/>
    <xf numFmtId="9" fontId="14" fillId="0" borderId="92" xfId="2" applyFont="1" applyFill="1" applyBorder="1" applyAlignment="1">
      <alignment horizontal="center"/>
    </xf>
    <xf numFmtId="9" fontId="14" fillId="0" borderId="93" xfId="2" applyFont="1" applyFill="1" applyBorder="1" applyAlignment="1">
      <alignment horizontal="center"/>
    </xf>
    <xf numFmtId="2" fontId="8" fillId="0" borderId="14" xfId="3" applyNumberFormat="1" applyFont="1" applyFill="1" applyBorder="1" applyAlignment="1">
      <alignment horizontal="center"/>
    </xf>
    <xf numFmtId="2" fontId="8" fillId="0" borderId="94" xfId="3" applyNumberFormat="1" applyFont="1" applyFill="1" applyBorder="1" applyAlignment="1">
      <alignment horizontal="center"/>
    </xf>
    <xf numFmtId="9" fontId="8" fillId="0" borderId="98" xfId="2" applyFont="1" applyFill="1" applyBorder="1" applyAlignment="1">
      <alignment horizontal="center"/>
    </xf>
    <xf numFmtId="0" fontId="10" fillId="0" borderId="9" xfId="4" applyFont="1" applyBorder="1"/>
    <xf numFmtId="0" fontId="12" fillId="0" borderId="12" xfId="4" applyFont="1" applyBorder="1" applyAlignment="1">
      <alignment horizontal="center"/>
    </xf>
    <xf numFmtId="2" fontId="8" fillId="0" borderId="92" xfId="3" applyNumberFormat="1" applyFont="1" applyFill="1" applyBorder="1" applyAlignment="1">
      <alignment horizontal="center"/>
    </xf>
    <xf numFmtId="2" fontId="8" fillId="0" borderId="93" xfId="3" applyNumberFormat="1" applyFont="1" applyFill="1" applyBorder="1" applyAlignment="1">
      <alignment horizontal="center"/>
    </xf>
    <xf numFmtId="2" fontId="14" fillId="0" borderId="15" xfId="3" applyNumberFormat="1" applyFont="1" applyFill="1" applyBorder="1" applyAlignment="1">
      <alignment horizontal="center"/>
    </xf>
    <xf numFmtId="2" fontId="14" fillId="0" borderId="18" xfId="3" applyNumberFormat="1" applyFont="1" applyFill="1" applyBorder="1" applyAlignment="1">
      <alignment horizontal="center"/>
    </xf>
    <xf numFmtId="2" fontId="14" fillId="0" borderId="16" xfId="3" applyNumberFormat="1" applyFont="1" applyFill="1" applyBorder="1" applyAlignment="1">
      <alignment horizontal="center"/>
    </xf>
    <xf numFmtId="2" fontId="14" fillId="0" borderId="19" xfId="3" applyNumberFormat="1" applyFont="1" applyFill="1" applyBorder="1" applyAlignment="1">
      <alignment horizontal="center"/>
    </xf>
    <xf numFmtId="3" fontId="14" fillId="0" borderId="13" xfId="3" applyNumberFormat="1" applyFont="1" applyFill="1" applyBorder="1" applyAlignment="1">
      <alignment horizontal="center"/>
    </xf>
    <xf numFmtId="3" fontId="14" fillId="0" borderId="17" xfId="3" applyNumberFormat="1" applyFont="1" applyFill="1" applyBorder="1" applyAlignment="1">
      <alignment horizontal="center"/>
    </xf>
    <xf numFmtId="3" fontId="5" fillId="0" borderId="24" xfId="0" applyNumberFormat="1" applyFont="1" applyFill="1" applyBorder="1" applyAlignment="1">
      <alignment horizontal="center" wrapText="1"/>
    </xf>
    <xf numFmtId="3" fontId="5" fillId="0" borderId="0" xfId="0" applyNumberFormat="1" applyFont="1" applyFill="1"/>
    <xf numFmtId="0" fontId="67" fillId="0" borderId="0" xfId="0" applyFont="1" applyFill="1"/>
    <xf numFmtId="1" fontId="0" fillId="0" borderId="0" xfId="0" applyNumberFormat="1" applyFill="1" applyBorder="1" applyAlignment="1">
      <alignment horizontal="center"/>
    </xf>
    <xf numFmtId="1" fontId="0" fillId="0" borderId="0" xfId="0" applyNumberFormat="1" applyFill="1"/>
    <xf numFmtId="0" fontId="14" fillId="0" borderId="0" xfId="0" applyFont="1" applyFill="1"/>
    <xf numFmtId="170" fontId="14" fillId="0" borderId="0" xfId="2" applyNumberFormat="1" applyFont="1" applyFill="1"/>
    <xf numFmtId="0" fontId="8" fillId="0" borderId="0" xfId="0" applyFont="1" applyFill="1" applyAlignment="1">
      <alignment horizontal="right"/>
    </xf>
    <xf numFmtId="3" fontId="8" fillId="0" borderId="22" xfId="0" applyNumberFormat="1" applyFont="1" applyFill="1" applyBorder="1"/>
    <xf numFmtId="166" fontId="8" fillId="0" borderId="22" xfId="0" applyNumberFormat="1" applyFont="1" applyFill="1" applyBorder="1"/>
    <xf numFmtId="0" fontId="8" fillId="0" borderId="0" xfId="0" applyFont="1" applyFill="1"/>
    <xf numFmtId="3" fontId="18" fillId="0" borderId="0" xfId="0" applyNumberFormat="1" applyFont="1" applyFill="1" applyAlignment="1">
      <alignment horizontal="center"/>
    </xf>
    <xf numFmtId="0" fontId="5" fillId="0" borderId="25" xfId="0" applyFont="1" applyFill="1" applyBorder="1" applyAlignment="1">
      <alignment horizontal="center" wrapText="1"/>
    </xf>
    <xf numFmtId="2" fontId="0" fillId="0" borderId="0" xfId="0" applyNumberFormat="1" applyFill="1" applyAlignment="1">
      <alignment horizontal="right"/>
    </xf>
    <xf numFmtId="9" fontId="0" fillId="0" borderId="0" xfId="2" applyNumberFormat="1" applyFont="1" applyFill="1"/>
    <xf numFmtId="3" fontId="0" fillId="0" borderId="0" xfId="0" applyNumberFormat="1" applyFill="1" applyBorder="1" applyAlignment="1">
      <alignment horizontal="center"/>
    </xf>
    <xf numFmtId="169" fontId="0" fillId="0" borderId="0" xfId="0" applyNumberFormat="1" applyFill="1" applyAlignment="1">
      <alignment horizontal="right"/>
    </xf>
    <xf numFmtId="3" fontId="14" fillId="0" borderId="32" xfId="7" applyNumberFormat="1" applyFont="1" applyFill="1" applyBorder="1" applyAlignment="1">
      <alignment horizontal="right"/>
    </xf>
    <xf numFmtId="3" fontId="8" fillId="0" borderId="32" xfId="7" applyNumberFormat="1" applyFont="1" applyFill="1" applyBorder="1" applyAlignment="1">
      <alignment horizontal="right"/>
    </xf>
    <xf numFmtId="9" fontId="5" fillId="0" borderId="32" xfId="2" applyFont="1" applyFill="1" applyBorder="1" applyAlignment="1">
      <alignment horizontal="right"/>
    </xf>
    <xf numFmtId="9" fontId="5" fillId="0" borderId="0" xfId="2" applyFont="1" applyFill="1" applyBorder="1" applyAlignment="1">
      <alignment horizontal="right"/>
    </xf>
    <xf numFmtId="173" fontId="8" fillId="12" borderId="0" xfId="10" applyNumberFormat="1" applyFont="1" applyFill="1" applyBorder="1" applyAlignment="1">
      <alignment horizontal="right"/>
    </xf>
    <xf numFmtId="167" fontId="8" fillId="12" borderId="0" xfId="9" applyNumberFormat="1" applyFont="1" applyFill="1" applyBorder="1" applyAlignment="1">
      <alignment horizontal="right" vertical="center"/>
    </xf>
    <xf numFmtId="2" fontId="8" fillId="0" borderId="99" xfId="3" applyNumberFormat="1" applyFont="1" applyFill="1" applyBorder="1" applyAlignment="1">
      <alignment horizontal="center"/>
    </xf>
    <xf numFmtId="2" fontId="8" fillId="0" borderId="100" xfId="3" applyNumberFormat="1" applyFont="1" applyFill="1" applyBorder="1" applyAlignment="1">
      <alignment horizontal="center"/>
    </xf>
    <xf numFmtId="2" fontId="8" fillId="0" borderId="101" xfId="3" applyNumberFormat="1" applyFont="1" applyFill="1" applyBorder="1" applyAlignment="1">
      <alignment horizontal="center"/>
    </xf>
    <xf numFmtId="0" fontId="0" fillId="49" borderId="0" xfId="0" applyFill="1"/>
    <xf numFmtId="0" fontId="8" fillId="0" borderId="102" xfId="0" applyFont="1" applyFill="1" applyBorder="1" applyAlignment="1">
      <alignment horizontal="center" wrapText="1"/>
    </xf>
    <xf numFmtId="0" fontId="8" fillId="0" borderId="103" xfId="0" applyFont="1" applyFill="1" applyBorder="1" applyAlignment="1">
      <alignment horizontal="center" wrapText="1"/>
    </xf>
    <xf numFmtId="169" fontId="0" fillId="0" borderId="10" xfId="0" applyNumberFormat="1" applyFill="1" applyBorder="1"/>
    <xf numFmtId="169" fontId="0" fillId="0" borderId="12" xfId="0" applyNumberFormat="1" applyFill="1" applyBorder="1"/>
    <xf numFmtId="3" fontId="5" fillId="0" borderId="10" xfId="0" applyNumberFormat="1" applyFont="1" applyFill="1" applyBorder="1"/>
    <xf numFmtId="3" fontId="5" fillId="0" borderId="12" xfId="0" applyNumberFormat="1" applyFont="1" applyFill="1" applyBorder="1"/>
    <xf numFmtId="0" fontId="0" fillId="0" borderId="6" xfId="0" applyFill="1" applyBorder="1"/>
    <xf numFmtId="3" fontId="0" fillId="0" borderId="23" xfId="0" applyNumberFormat="1" applyFill="1" applyBorder="1"/>
    <xf numFmtId="0" fontId="0" fillId="50" borderId="0" xfId="0" applyFill="1"/>
    <xf numFmtId="0" fontId="0" fillId="51" borderId="0" xfId="0" applyFill="1"/>
    <xf numFmtId="185" fontId="0" fillId="0" borderId="10" xfId="0" applyNumberFormat="1" applyFill="1" applyBorder="1" applyAlignment="1">
      <alignment horizontal="center"/>
    </xf>
    <xf numFmtId="169" fontId="0" fillId="0" borderId="12" xfId="0" applyNumberFormat="1" applyFill="1" applyBorder="1" applyAlignment="1">
      <alignment horizontal="center"/>
    </xf>
    <xf numFmtId="185" fontId="0" fillId="0" borderId="12" xfId="0" applyNumberFormat="1" applyFill="1" applyBorder="1" applyAlignment="1">
      <alignment horizontal="center"/>
    </xf>
    <xf numFmtId="0" fontId="8" fillId="0" borderId="36" xfId="0" applyFont="1" applyFill="1" applyBorder="1" applyAlignment="1">
      <alignment horizontal="center" wrapText="1"/>
    </xf>
    <xf numFmtId="169" fontId="0" fillId="0" borderId="0" xfId="0" applyNumberFormat="1" applyFill="1" applyBorder="1" applyAlignment="1">
      <alignment horizontal="center"/>
    </xf>
    <xf numFmtId="185" fontId="0" fillId="0" borderId="0" xfId="0" applyNumberFormat="1" applyFill="1" applyBorder="1" applyAlignment="1">
      <alignment horizontal="center"/>
    </xf>
    <xf numFmtId="3" fontId="5" fillId="0" borderId="0" xfId="0" applyNumberFormat="1" applyFont="1" applyFill="1" applyBorder="1"/>
    <xf numFmtId="0" fontId="6" fillId="51" borderId="0" xfId="0" applyFont="1" applyFill="1"/>
    <xf numFmtId="0" fontId="6" fillId="50" borderId="0" xfId="0" applyFont="1" applyFill="1"/>
    <xf numFmtId="2" fontId="0" fillId="0" borderId="10" xfId="0" applyNumberFormat="1" applyFill="1" applyBorder="1"/>
    <xf numFmtId="2" fontId="0" fillId="0" borderId="12" xfId="0" applyNumberFormat="1" applyFill="1" applyBorder="1"/>
    <xf numFmtId="3" fontId="5" fillId="0" borderId="10" xfId="0" applyNumberFormat="1" applyFont="1" applyBorder="1"/>
    <xf numFmtId="3" fontId="5" fillId="0" borderId="12" xfId="0" applyNumberFormat="1" applyFont="1" applyBorder="1"/>
    <xf numFmtId="1" fontId="0" fillId="0" borderId="6" xfId="0" applyNumberFormat="1" applyFill="1" applyBorder="1"/>
    <xf numFmtId="188" fontId="5" fillId="0" borderId="22" xfId="2" applyNumberFormat="1" applyFont="1" applyBorder="1" applyAlignment="1">
      <alignment vertical="center"/>
    </xf>
    <xf numFmtId="0" fontId="8" fillId="0" borderId="0" xfId="0" applyFont="1" applyFill="1" applyAlignment="1">
      <alignment vertical="center"/>
    </xf>
    <xf numFmtId="169" fontId="8" fillId="12" borderId="32" xfId="2" applyNumberFormat="1" applyFont="1" applyFill="1" applyBorder="1" applyAlignment="1">
      <alignment horizontal="center"/>
    </xf>
    <xf numFmtId="4" fontId="14" fillId="0" borderId="13" xfId="3" applyNumberFormat="1" applyFont="1" applyFill="1" applyBorder="1" applyAlignment="1">
      <alignment horizontal="center"/>
    </xf>
    <xf numFmtId="4" fontId="14" fillId="0" borderId="17" xfId="3" applyNumberFormat="1" applyFont="1" applyFill="1" applyBorder="1" applyAlignment="1">
      <alignment horizontal="center"/>
    </xf>
    <xf numFmtId="3" fontId="8" fillId="18" borderId="0" xfId="3" applyNumberFormat="1" applyFont="1" applyFill="1" applyBorder="1" applyAlignment="1">
      <alignment horizontal="right"/>
    </xf>
    <xf numFmtId="0" fontId="1" fillId="0" borderId="0" xfId="0" applyFont="1"/>
    <xf numFmtId="0" fontId="1" fillId="9" borderId="0" xfId="0" applyFont="1" applyFill="1"/>
    <xf numFmtId="15" fontId="8" fillId="0" borderId="0" xfId="4" applyNumberFormat="1" applyFont="1" applyFill="1" applyBorder="1" applyAlignment="1">
      <alignment horizontal="left"/>
    </xf>
    <xf numFmtId="15" fontId="71" fillId="0" borderId="0" xfId="4" applyNumberFormat="1" applyFont="1" applyFill="1" applyBorder="1" applyAlignment="1">
      <alignment horizontal="left"/>
    </xf>
    <xf numFmtId="164" fontId="72" fillId="0" borderId="0" xfId="4" applyNumberFormat="1" applyFont="1" applyBorder="1"/>
    <xf numFmtId="0" fontId="1" fillId="0" borderId="0" xfId="0" applyFont="1" applyBorder="1"/>
    <xf numFmtId="0" fontId="10" fillId="0" borderId="0" xfId="4" applyFont="1" applyBorder="1"/>
    <xf numFmtId="0" fontId="1" fillId="0" borderId="0" xfId="4" applyFont="1" applyBorder="1"/>
    <xf numFmtId="15" fontId="3" fillId="4" borderId="4" xfId="4" applyNumberFormat="1" applyFont="1" applyFill="1" applyBorder="1" applyAlignment="1">
      <alignment horizontal="left"/>
    </xf>
    <xf numFmtId="15" fontId="3" fillId="4" borderId="5" xfId="4" applyNumberFormat="1" applyFont="1" applyFill="1" applyBorder="1" applyAlignment="1">
      <alignment horizontal="left"/>
    </xf>
    <xf numFmtId="15" fontId="3" fillId="4" borderId="5" xfId="4" applyNumberFormat="1" applyFont="1" applyFill="1" applyBorder="1" applyAlignment="1">
      <alignment horizontal="center"/>
    </xf>
    <xf numFmtId="15" fontId="7" fillId="4" borderId="5" xfId="4" applyNumberFormat="1" applyFont="1" applyFill="1" applyBorder="1" applyAlignment="1">
      <alignment horizontal="center"/>
    </xf>
    <xf numFmtId="15" fontId="7" fillId="4" borderId="9" xfId="4" applyNumberFormat="1" applyFont="1" applyFill="1" applyBorder="1" applyAlignment="1">
      <alignment horizontal="center"/>
    </xf>
    <xf numFmtId="15" fontId="3" fillId="4" borderId="10" xfId="4" applyNumberFormat="1" applyFont="1" applyFill="1" applyBorder="1" applyAlignment="1">
      <alignment horizontal="left"/>
    </xf>
    <xf numFmtId="15" fontId="3" fillId="4" borderId="0" xfId="4" applyNumberFormat="1" applyFont="1" applyFill="1" applyBorder="1" applyAlignment="1">
      <alignment horizontal="left"/>
    </xf>
    <xf numFmtId="15" fontId="3" fillId="4" borderId="0" xfId="4" applyNumberFormat="1" applyFont="1" applyFill="1" applyBorder="1" applyAlignment="1">
      <alignment horizontal="center"/>
    </xf>
    <xf numFmtId="15" fontId="7" fillId="4" borderId="0" xfId="4" applyNumberFormat="1" applyFont="1" applyFill="1" applyBorder="1" applyAlignment="1">
      <alignment horizontal="center"/>
    </xf>
    <xf numFmtId="15" fontId="7" fillId="4" borderId="12" xfId="4" applyNumberFormat="1" applyFont="1" applyFill="1" applyBorder="1" applyAlignment="1">
      <alignment horizontal="center"/>
    </xf>
    <xf numFmtId="15" fontId="73" fillId="4" borderId="0" xfId="4" applyNumberFormat="1" applyFont="1" applyFill="1" applyBorder="1" applyAlignment="1">
      <alignment horizontal="center"/>
    </xf>
    <xf numFmtId="2" fontId="8" fillId="9" borderId="104" xfId="3" applyNumberFormat="1" applyFont="1" applyFill="1" applyBorder="1" applyAlignment="1">
      <alignment horizontal="center"/>
    </xf>
    <xf numFmtId="2" fontId="8" fillId="0" borderId="105" xfId="3" applyNumberFormat="1" applyFont="1" applyFill="1" applyBorder="1" applyAlignment="1">
      <alignment horizontal="center"/>
    </xf>
    <xf numFmtId="9" fontId="8" fillId="0" borderId="105" xfId="2" applyFont="1" applyFill="1" applyBorder="1" applyAlignment="1">
      <alignment horizontal="center"/>
    </xf>
    <xf numFmtId="2" fontId="8" fillId="9" borderId="106" xfId="3" applyNumberFormat="1" applyFont="1" applyFill="1" applyBorder="1" applyAlignment="1">
      <alignment horizontal="center"/>
    </xf>
    <xf numFmtId="2" fontId="8" fillId="9" borderId="15" xfId="3" applyNumberFormat="1" applyFont="1" applyFill="1" applyBorder="1" applyAlignment="1">
      <alignment horizontal="center"/>
    </xf>
    <xf numFmtId="9" fontId="8" fillId="0" borderId="16" xfId="2" applyFont="1" applyFill="1" applyBorder="1" applyAlignment="1">
      <alignment horizontal="center"/>
    </xf>
    <xf numFmtId="2" fontId="8" fillId="9" borderId="107" xfId="3" applyNumberFormat="1" applyFont="1" applyFill="1" applyBorder="1" applyAlignment="1">
      <alignment horizontal="center"/>
    </xf>
    <xf numFmtId="15" fontId="3" fillId="4" borderId="6" xfId="4" applyNumberFormat="1" applyFont="1" applyFill="1" applyBorder="1" applyAlignment="1">
      <alignment horizontal="left"/>
    </xf>
    <xf numFmtId="15" fontId="3" fillId="4" borderId="7" xfId="4" applyNumberFormat="1" applyFont="1" applyFill="1" applyBorder="1" applyAlignment="1">
      <alignment horizontal="left"/>
    </xf>
    <xf numFmtId="2" fontId="8" fillId="9" borderId="18" xfId="3" applyNumberFormat="1" applyFont="1" applyFill="1" applyBorder="1" applyAlignment="1">
      <alignment horizontal="center"/>
    </xf>
    <xf numFmtId="9" fontId="8" fillId="0" borderId="19" xfId="2" applyFont="1" applyFill="1" applyBorder="1" applyAlignment="1">
      <alignment horizontal="center"/>
    </xf>
    <xf numFmtId="2" fontId="8" fillId="9" borderId="108" xfId="3" applyNumberFormat="1" applyFont="1" applyFill="1" applyBorder="1" applyAlignment="1">
      <alignment horizontal="center"/>
    </xf>
    <xf numFmtId="2" fontId="8" fillId="0" borderId="109" xfId="3" applyNumberFormat="1" applyFont="1" applyFill="1" applyBorder="1" applyAlignment="1">
      <alignment horizontal="center"/>
    </xf>
    <xf numFmtId="9" fontId="8" fillId="0" borderId="109" xfId="2" applyFont="1" applyFill="1" applyBorder="1" applyAlignment="1">
      <alignment horizontal="center"/>
    </xf>
    <xf numFmtId="2" fontId="8" fillId="9" borderId="110" xfId="3" applyNumberFormat="1" applyFont="1" applyFill="1" applyBorder="1" applyAlignment="1">
      <alignment horizontal="center"/>
    </xf>
    <xf numFmtId="2" fontId="8" fillId="9" borderId="92" xfId="3" applyNumberFormat="1" applyFont="1" applyFill="1" applyBorder="1" applyAlignment="1">
      <alignment horizontal="center"/>
    </xf>
    <xf numFmtId="2" fontId="8" fillId="9" borderId="93" xfId="3" applyNumberFormat="1" applyFont="1" applyFill="1" applyBorder="1" applyAlignment="1">
      <alignment horizontal="center"/>
    </xf>
    <xf numFmtId="10" fontId="8" fillId="9" borderId="31" xfId="2" applyNumberFormat="1" applyFont="1" applyFill="1" applyBorder="1" applyAlignment="1" applyProtection="1">
      <alignment horizontal="right"/>
    </xf>
    <xf numFmtId="15" fontId="3" fillId="4" borderId="2" xfId="4" applyNumberFormat="1" applyFont="1" applyFill="1" applyBorder="1" applyAlignment="1" applyProtection="1">
      <alignment horizontal="left"/>
    </xf>
    <xf numFmtId="15" fontId="3" fillId="4" borderId="21" xfId="4" applyNumberFormat="1" applyFont="1" applyFill="1" applyBorder="1" applyAlignment="1" applyProtection="1">
      <alignment horizontal="left"/>
    </xf>
    <xf numFmtId="15" fontId="3" fillId="4" borderId="31" xfId="4" applyNumberFormat="1" applyFont="1" applyFill="1" applyBorder="1" applyAlignment="1" applyProtection="1">
      <alignment horizontal="left"/>
    </xf>
    <xf numFmtId="170" fontId="8" fillId="9" borderId="31" xfId="2" applyNumberFormat="1" applyFont="1" applyFill="1" applyBorder="1" applyAlignment="1" applyProtection="1">
      <alignment horizontal="right"/>
    </xf>
    <xf numFmtId="3" fontId="8" fillId="9" borderId="111" xfId="3" applyNumberFormat="1" applyFont="1" applyFill="1" applyBorder="1" applyAlignment="1" applyProtection="1">
      <alignment horizontal="right"/>
    </xf>
    <xf numFmtId="170" fontId="8" fillId="9" borderId="111" xfId="2" applyNumberFormat="1" applyFont="1" applyFill="1" applyBorder="1" applyAlignment="1" applyProtection="1">
      <alignment horizontal="right"/>
    </xf>
    <xf numFmtId="0" fontId="0" fillId="9" borderId="0" xfId="0" applyFill="1"/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8" fillId="0" borderId="8" xfId="0" applyFont="1" applyFill="1" applyBorder="1" applyAlignment="1">
      <alignment horizontal="center" wrapText="1"/>
    </xf>
    <xf numFmtId="0" fontId="0" fillId="0" borderId="70" xfId="0" applyBorder="1" applyAlignment="1">
      <alignment horizontal="center"/>
    </xf>
    <xf numFmtId="0" fontId="0" fillId="0" borderId="115" xfId="0" applyBorder="1"/>
    <xf numFmtId="3" fontId="8" fillId="18" borderId="56" xfId="0" applyNumberFormat="1" applyFont="1" applyFill="1" applyBorder="1" applyAlignment="1" applyProtection="1">
      <alignment horizontal="right"/>
      <protection locked="0"/>
    </xf>
    <xf numFmtId="0" fontId="0" fillId="0" borderId="82" xfId="0" applyBorder="1" applyAlignment="1">
      <alignment horizontal="center"/>
    </xf>
    <xf numFmtId="0" fontId="0" fillId="0" borderId="25" xfId="0" applyBorder="1"/>
    <xf numFmtId="3" fontId="8" fillId="18" borderId="59" xfId="0" applyNumberFormat="1" applyFont="1" applyFill="1" applyBorder="1" applyAlignment="1" applyProtection="1">
      <alignment horizontal="right"/>
      <protection locked="0"/>
    </xf>
    <xf numFmtId="0" fontId="0" fillId="0" borderId="32" xfId="0" applyBorder="1" applyAlignment="1">
      <alignment horizontal="right"/>
    </xf>
    <xf numFmtId="0" fontId="0" fillId="0" borderId="32" xfId="0" applyFill="1" applyBorder="1"/>
    <xf numFmtId="0" fontId="0" fillId="0" borderId="32" xfId="0" applyBorder="1" applyAlignment="1">
      <alignment horizontal="center"/>
    </xf>
    <xf numFmtId="0" fontId="0" fillId="0" borderId="72" xfId="0" applyBorder="1" applyAlignment="1">
      <alignment horizontal="center"/>
    </xf>
    <xf numFmtId="0" fontId="0" fillId="0" borderId="63" xfId="0" applyBorder="1" applyAlignment="1">
      <alignment horizontal="center"/>
    </xf>
    <xf numFmtId="0" fontId="0" fillId="0" borderId="116" xfId="0" applyBorder="1"/>
    <xf numFmtId="3" fontId="8" fillId="18" borderId="62" xfId="0" applyNumberFormat="1" applyFont="1" applyFill="1" applyBorder="1" applyAlignment="1" applyProtection="1">
      <alignment horizontal="right"/>
      <protection locked="0"/>
    </xf>
    <xf numFmtId="3" fontId="8" fillId="18" borderId="59" xfId="3" applyNumberFormat="1" applyFont="1" applyFill="1" applyBorder="1" applyAlignment="1" applyProtection="1">
      <alignment horizontal="right"/>
      <protection locked="0"/>
    </xf>
    <xf numFmtId="3" fontId="8" fillId="18" borderId="62" xfId="3" applyNumberFormat="1" applyFont="1" applyFill="1" applyBorder="1" applyAlignment="1" applyProtection="1">
      <alignment horizontal="right"/>
      <protection locked="0"/>
    </xf>
    <xf numFmtId="3" fontId="8" fillId="0" borderId="56" xfId="3" applyNumberFormat="1" applyFont="1" applyFill="1" applyBorder="1" applyAlignment="1" applyProtection="1">
      <alignment horizontal="right"/>
    </xf>
    <xf numFmtId="3" fontId="8" fillId="0" borderId="59" xfId="3" applyNumberFormat="1" applyFont="1" applyFill="1" applyBorder="1" applyAlignment="1" applyProtection="1">
      <alignment horizontal="right"/>
    </xf>
    <xf numFmtId="15" fontId="3" fillId="4" borderId="2" xfId="4" applyNumberFormat="1" applyFont="1" applyFill="1" applyBorder="1" applyAlignment="1" applyProtection="1">
      <alignment horizontal="left"/>
    </xf>
    <xf numFmtId="15" fontId="3" fillId="4" borderId="21" xfId="4" applyNumberFormat="1" applyFont="1" applyFill="1" applyBorder="1" applyAlignment="1" applyProtection="1">
      <alignment horizontal="left"/>
    </xf>
    <xf numFmtId="15" fontId="3" fillId="4" borderId="31" xfId="4" applyNumberFormat="1" applyFont="1" applyFill="1" applyBorder="1" applyAlignment="1" applyProtection="1">
      <alignment horizontal="left"/>
    </xf>
    <xf numFmtId="15" fontId="14" fillId="0" borderId="113" xfId="4" applyNumberFormat="1" applyFont="1" applyFill="1" applyBorder="1" applyAlignment="1">
      <alignment horizontal="left"/>
    </xf>
    <xf numFmtId="15" fontId="14" fillId="0" borderId="114" xfId="4" applyNumberFormat="1" applyFont="1" applyFill="1" applyBorder="1" applyAlignment="1">
      <alignment horizontal="left"/>
    </xf>
    <xf numFmtId="15" fontId="14" fillId="0" borderId="102" xfId="4" applyNumberFormat="1" applyFont="1" applyFill="1" applyBorder="1" applyAlignment="1">
      <alignment horizontal="left"/>
    </xf>
    <xf numFmtId="15" fontId="14" fillId="0" borderId="103" xfId="4" applyNumberFormat="1" applyFont="1" applyFill="1" applyBorder="1" applyAlignment="1">
      <alignment horizontal="left"/>
    </xf>
    <xf numFmtId="15" fontId="14" fillId="0" borderId="112" xfId="4" applyNumberFormat="1" applyFont="1" applyFill="1" applyBorder="1" applyAlignment="1">
      <alignment horizontal="left"/>
    </xf>
    <xf numFmtId="15" fontId="14" fillId="0" borderId="111" xfId="4" applyNumberFormat="1" applyFont="1" applyFill="1" applyBorder="1" applyAlignment="1">
      <alignment horizontal="left"/>
    </xf>
    <xf numFmtId="0" fontId="8" fillId="0" borderId="0" xfId="0" applyFont="1" applyFill="1" applyAlignment="1">
      <alignment horizontal="center" vertical="center"/>
    </xf>
    <xf numFmtId="0" fontId="29" fillId="12" borderId="0" xfId="10" applyFont="1" applyFill="1" applyAlignment="1">
      <alignment horizontal="right" wrapText="1"/>
    </xf>
    <xf numFmtId="0" fontId="29" fillId="12" borderId="28" xfId="10" applyFont="1" applyFill="1" applyBorder="1" applyAlignment="1">
      <alignment horizontal="right" wrapText="1"/>
    </xf>
    <xf numFmtId="0" fontId="29" fillId="12" borderId="36" xfId="10" applyFont="1" applyFill="1" applyBorder="1" applyAlignment="1">
      <alignment horizontal="right" wrapText="1"/>
    </xf>
    <xf numFmtId="0" fontId="29" fillId="12" borderId="30" xfId="10" applyFont="1" applyFill="1" applyBorder="1" applyAlignment="1">
      <alignment horizontal="right" wrapText="1"/>
    </xf>
    <xf numFmtId="0" fontId="6" fillId="14" borderId="25" xfId="10" applyFont="1" applyFill="1" applyBorder="1" applyAlignment="1">
      <alignment horizontal="center"/>
    </xf>
    <xf numFmtId="0" fontId="6" fillId="14" borderId="24" xfId="10" applyFont="1" applyFill="1" applyBorder="1" applyAlignment="1">
      <alignment horizontal="center"/>
    </xf>
    <xf numFmtId="0" fontId="6" fillId="14" borderId="26" xfId="10" applyFont="1" applyFill="1" applyBorder="1" applyAlignment="1">
      <alignment horizontal="center"/>
    </xf>
    <xf numFmtId="0" fontId="6" fillId="14" borderId="32" xfId="10" applyFont="1" applyFill="1" applyBorder="1" applyAlignment="1">
      <alignment horizontal="right"/>
    </xf>
    <xf numFmtId="0" fontId="6" fillId="14" borderId="46" xfId="0" applyFont="1" applyFill="1" applyBorder="1" applyAlignment="1">
      <alignment horizontal="center" vertical="center" textRotation="90"/>
    </xf>
    <xf numFmtId="0" fontId="6" fillId="14" borderId="28" xfId="0" applyFont="1" applyFill="1" applyBorder="1" applyAlignment="1">
      <alignment horizontal="center" vertical="center" textRotation="90"/>
    </xf>
    <xf numFmtId="0" fontId="3" fillId="16" borderId="25" xfId="0" applyFont="1" applyFill="1" applyBorder="1" applyAlignment="1">
      <alignment horizontal="center"/>
    </xf>
    <xf numFmtId="0" fontId="3" fillId="16" borderId="26" xfId="0" applyFont="1" applyFill="1" applyBorder="1" applyAlignment="1">
      <alignment horizontal="center"/>
    </xf>
    <xf numFmtId="0" fontId="6" fillId="14" borderId="33" xfId="10" applyFont="1" applyFill="1" applyBorder="1" applyAlignment="1">
      <alignment horizontal="right"/>
    </xf>
    <xf numFmtId="0" fontId="14" fillId="12" borderId="32" xfId="10" applyFont="1" applyFill="1" applyBorder="1" applyAlignment="1">
      <alignment horizontal="right"/>
    </xf>
    <xf numFmtId="0" fontId="6" fillId="14" borderId="25" xfId="10" applyFont="1" applyFill="1" applyBorder="1" applyAlignment="1">
      <alignment horizontal="left" vertical="center"/>
    </xf>
    <xf numFmtId="0" fontId="6" fillId="14" borderId="26" xfId="10" applyFont="1" applyFill="1" applyBorder="1" applyAlignment="1">
      <alignment horizontal="left" vertical="center"/>
    </xf>
    <xf numFmtId="183" fontId="0" fillId="0" borderId="0" xfId="0" applyNumberFormat="1" applyFill="1" applyBorder="1" applyAlignment="1">
      <alignment horizontal="center"/>
    </xf>
    <xf numFmtId="183" fontId="0" fillId="0" borderId="36" xfId="0" applyNumberFormat="1" applyFill="1" applyBorder="1" applyAlignment="1">
      <alignment horizontal="center"/>
    </xf>
    <xf numFmtId="0" fontId="0" fillId="0" borderId="32" xfId="0" applyFont="1" applyBorder="1" applyAlignment="1">
      <alignment horizontal="center" vertical="center" textRotation="90"/>
    </xf>
    <xf numFmtId="0" fontId="0" fillId="0" borderId="32" xfId="0" applyBorder="1" applyAlignment="1">
      <alignment horizontal="center" vertical="center"/>
    </xf>
    <xf numFmtId="0" fontId="3" fillId="17" borderId="89" xfId="0" applyFont="1" applyFill="1" applyBorder="1" applyAlignment="1">
      <alignment horizontal="center" wrapText="1"/>
    </xf>
    <xf numFmtId="0" fontId="3" fillId="17" borderId="51" xfId="0" applyFont="1" applyFill="1" applyBorder="1" applyAlignment="1">
      <alignment horizontal="center" wrapText="1"/>
    </xf>
    <xf numFmtId="0" fontId="3" fillId="17" borderId="52" xfId="0" applyFont="1" applyFill="1" applyBorder="1" applyAlignment="1">
      <alignment horizontal="center" wrapText="1"/>
    </xf>
    <xf numFmtId="0" fontId="3" fillId="17" borderId="90" xfId="0" applyFont="1" applyFill="1" applyBorder="1" applyAlignment="1">
      <alignment horizontal="right"/>
    </xf>
    <xf numFmtId="0" fontId="3" fillId="17" borderId="55" xfId="0" applyFont="1" applyFill="1" applyBorder="1" applyAlignment="1">
      <alignment horizontal="right"/>
    </xf>
    <xf numFmtId="0" fontId="3" fillId="17" borderId="90" xfId="0" applyFont="1" applyFill="1" applyBorder="1" applyAlignment="1">
      <alignment horizontal="right" wrapText="1"/>
    </xf>
    <xf numFmtId="0" fontId="3" fillId="17" borderId="75" xfId="0" applyFont="1" applyFill="1" applyBorder="1" applyAlignment="1">
      <alignment horizontal="right" wrapText="1"/>
    </xf>
    <xf numFmtId="187" fontId="0" fillId="0" borderId="71" xfId="1" applyNumberFormat="1" applyFont="1" applyBorder="1" applyAlignment="1">
      <alignment horizontal="center" vertical="center"/>
    </xf>
    <xf numFmtId="187" fontId="0" fillId="0" borderId="35" xfId="1" applyNumberFormat="1" applyFont="1" applyBorder="1" applyAlignment="1">
      <alignment horizontal="center" vertical="center"/>
    </xf>
    <xf numFmtId="187" fontId="0" fillId="0" borderId="73" xfId="1" applyNumberFormat="1" applyFont="1" applyBorder="1" applyAlignment="1">
      <alignment horizontal="center" vertical="center"/>
    </xf>
    <xf numFmtId="187" fontId="0" fillId="0" borderId="69" xfId="1" applyNumberFormat="1" applyFont="1" applyBorder="1" applyAlignment="1">
      <alignment horizontal="center" vertical="center"/>
    </xf>
    <xf numFmtId="187" fontId="0" fillId="0" borderId="76" xfId="1" applyNumberFormat="1" applyFont="1" applyBorder="1" applyAlignment="1">
      <alignment horizontal="center" vertical="center"/>
    </xf>
    <xf numFmtId="187" fontId="0" fillId="0" borderId="74" xfId="1" applyNumberFormat="1" applyFont="1" applyBorder="1" applyAlignment="1">
      <alignment horizontal="center" vertical="center"/>
    </xf>
    <xf numFmtId="0" fontId="3" fillId="17" borderId="50" xfId="0" applyFont="1" applyFill="1" applyBorder="1" applyAlignment="1">
      <alignment horizontal="center" vertical="center" wrapText="1"/>
    </xf>
    <xf numFmtId="0" fontId="3" fillId="17" borderId="52" xfId="0" applyFont="1" applyFill="1" applyBorder="1" applyAlignment="1">
      <alignment horizontal="center" vertical="center" wrapText="1"/>
    </xf>
    <xf numFmtId="3" fontId="0" fillId="0" borderId="57" xfId="0" applyNumberFormat="1" applyBorder="1" applyAlignment="1">
      <alignment horizontal="center" vertical="center"/>
    </xf>
    <xf numFmtId="3" fontId="0" fillId="0" borderId="32" xfId="0" applyNumberFormat="1" applyBorder="1" applyAlignment="1">
      <alignment horizontal="center" vertical="center"/>
    </xf>
    <xf numFmtId="3" fontId="0" fillId="0" borderId="63" xfId="0" applyNumberFormat="1" applyBorder="1" applyAlignment="1">
      <alignment horizontal="center" vertical="center"/>
    </xf>
    <xf numFmtId="4" fontId="5" fillId="9" borderId="58" xfId="0" applyNumberFormat="1" applyFont="1" applyFill="1" applyBorder="1" applyAlignment="1">
      <alignment horizontal="center" vertical="center"/>
    </xf>
    <xf numFmtId="4" fontId="5" fillId="9" borderId="60" xfId="0" applyNumberFormat="1" applyFont="1" applyFill="1" applyBorder="1" applyAlignment="1">
      <alignment horizontal="center" vertical="center"/>
    </xf>
    <xf numFmtId="4" fontId="5" fillId="9" borderId="64" xfId="0" applyNumberFormat="1" applyFont="1" applyFill="1" applyBorder="1" applyAlignment="1">
      <alignment horizontal="center" vertical="center"/>
    </xf>
    <xf numFmtId="187" fontId="0" fillId="0" borderId="57" xfId="1" applyNumberFormat="1" applyFont="1" applyBorder="1" applyAlignment="1">
      <alignment horizontal="center" vertical="center"/>
    </xf>
    <xf numFmtId="187" fontId="0" fillId="0" borderId="32" xfId="1" applyNumberFormat="1" applyFont="1" applyBorder="1" applyAlignment="1">
      <alignment horizontal="center" vertical="center"/>
    </xf>
    <xf numFmtId="187" fontId="0" fillId="0" borderId="63" xfId="1" applyNumberFormat="1" applyFont="1" applyBorder="1" applyAlignment="1">
      <alignment horizontal="center" vertical="center"/>
    </xf>
  </cellXfs>
  <cellStyles count="110">
    <cellStyle name="20% - Accent1" xfId="13" xr:uid="{00000000-0005-0000-0000-000000000000}"/>
    <cellStyle name="20% - Accent2" xfId="14" xr:uid="{00000000-0005-0000-0000-000001000000}"/>
    <cellStyle name="20% - Accent3" xfId="15" xr:uid="{00000000-0005-0000-0000-000002000000}"/>
    <cellStyle name="20% - Accent4" xfId="16" xr:uid="{00000000-0005-0000-0000-000003000000}"/>
    <cellStyle name="20% - Accent5" xfId="17" xr:uid="{00000000-0005-0000-0000-000004000000}"/>
    <cellStyle name="20% - Accent6" xfId="18" xr:uid="{00000000-0005-0000-0000-000005000000}"/>
    <cellStyle name="40% - Accent1" xfId="19" xr:uid="{00000000-0005-0000-0000-000006000000}"/>
    <cellStyle name="40% - Accent2" xfId="20" xr:uid="{00000000-0005-0000-0000-000007000000}"/>
    <cellStyle name="40% - Accent3" xfId="21" xr:uid="{00000000-0005-0000-0000-000008000000}"/>
    <cellStyle name="40% - Accent4" xfId="22" xr:uid="{00000000-0005-0000-0000-000009000000}"/>
    <cellStyle name="40% - Accent5" xfId="23" xr:uid="{00000000-0005-0000-0000-00000A000000}"/>
    <cellStyle name="40% - Accent6" xfId="24" xr:uid="{00000000-0005-0000-0000-00000B000000}"/>
    <cellStyle name="60% - Accent1" xfId="25" xr:uid="{00000000-0005-0000-0000-00000C000000}"/>
    <cellStyle name="60% - Accent2" xfId="26" xr:uid="{00000000-0005-0000-0000-00000D000000}"/>
    <cellStyle name="60% - Accent3" xfId="27" xr:uid="{00000000-0005-0000-0000-00000E000000}"/>
    <cellStyle name="60% - Accent4" xfId="28" xr:uid="{00000000-0005-0000-0000-00000F000000}"/>
    <cellStyle name="60% - Accent5" xfId="29" xr:uid="{00000000-0005-0000-0000-000010000000}"/>
    <cellStyle name="60% - Accent6" xfId="30" xr:uid="{00000000-0005-0000-0000-000011000000}"/>
    <cellStyle name="60% - Colore 2 2" xfId="7" xr:uid="{00000000-0005-0000-0000-000012000000}"/>
    <cellStyle name="Accent1" xfId="31" xr:uid="{00000000-0005-0000-0000-000013000000}"/>
    <cellStyle name="Accent2" xfId="32" xr:uid="{00000000-0005-0000-0000-000014000000}"/>
    <cellStyle name="Accent3" xfId="33" xr:uid="{00000000-0005-0000-0000-000015000000}"/>
    <cellStyle name="Accent4" xfId="34" xr:uid="{00000000-0005-0000-0000-000016000000}"/>
    <cellStyle name="Accent5" xfId="35" xr:uid="{00000000-0005-0000-0000-000017000000}"/>
    <cellStyle name="Accent6" xfId="36" xr:uid="{00000000-0005-0000-0000-000018000000}"/>
    <cellStyle name="Bad" xfId="37" xr:uid="{00000000-0005-0000-0000-000019000000}"/>
    <cellStyle name="Berechnung" xfId="3" builtinId="22"/>
    <cellStyle name="Calculation" xfId="38" xr:uid="{00000000-0005-0000-0000-00001B000000}"/>
    <cellStyle name="Calculation 2" xfId="105" xr:uid="{00000000-0005-0000-0000-00001C000000}"/>
    <cellStyle name="Check Cell" xfId="39" xr:uid="{00000000-0005-0000-0000-00001D000000}"/>
    <cellStyle name="contentStyle" xfId="40" xr:uid="{00000000-0005-0000-0000-00001E000000}"/>
    <cellStyle name="dateStyle" xfId="41" xr:uid="{00000000-0005-0000-0000-00001F000000}"/>
    <cellStyle name="defaultNumberStyle" xfId="42" xr:uid="{00000000-0005-0000-0000-000020000000}"/>
    <cellStyle name="E Head0" xfId="43" xr:uid="{00000000-0005-0000-0000-000021000000}"/>
    <cellStyle name="E Head1" xfId="44" xr:uid="{00000000-0005-0000-0000-000022000000}"/>
    <cellStyle name="E Head2" xfId="45" xr:uid="{00000000-0005-0000-0000-000023000000}"/>
    <cellStyle name="E Normal" xfId="46" xr:uid="{00000000-0005-0000-0000-000024000000}"/>
    <cellStyle name="Eingabe" xfId="104" builtinId="20"/>
    <cellStyle name="Euro" xfId="47" xr:uid="{00000000-0005-0000-0000-000026000000}"/>
    <cellStyle name="Euro 2" xfId="48" xr:uid="{00000000-0005-0000-0000-000027000000}"/>
    <cellStyle name="Explanatory Text" xfId="49" xr:uid="{00000000-0005-0000-0000-000028000000}"/>
    <cellStyle name="Good" xfId="50" xr:uid="{00000000-0005-0000-0000-000029000000}"/>
    <cellStyle name="headerStyle" xfId="51" xr:uid="{00000000-0005-0000-0000-00002A000000}"/>
    <cellStyle name="Heading 1" xfId="52" xr:uid="{00000000-0005-0000-0000-00002B000000}"/>
    <cellStyle name="Heading 2" xfId="53" xr:uid="{00000000-0005-0000-0000-00002C000000}"/>
    <cellStyle name="Heading 3" xfId="54" xr:uid="{00000000-0005-0000-0000-00002D000000}"/>
    <cellStyle name="Heading 3 2" xfId="55" xr:uid="{00000000-0005-0000-0000-00002E000000}"/>
    <cellStyle name="Heading 4" xfId="56" xr:uid="{00000000-0005-0000-0000-00002F000000}"/>
    <cellStyle name="headlineDateStyle" xfId="57" xr:uid="{00000000-0005-0000-0000-000030000000}"/>
    <cellStyle name="headlineDefaultNumberStyle" xfId="58" xr:uid="{00000000-0005-0000-0000-000031000000}"/>
    <cellStyle name="headlineNumberStyle" xfId="59" xr:uid="{00000000-0005-0000-0000-000032000000}"/>
    <cellStyle name="headlineStyle" xfId="60" xr:uid="{00000000-0005-0000-0000-000033000000}"/>
    <cellStyle name="Hyperlink 2" xfId="61" xr:uid="{00000000-0005-0000-0000-000034000000}"/>
    <cellStyle name="Input" xfId="62" xr:uid="{00000000-0005-0000-0000-000035000000}"/>
    <cellStyle name="Input 2" xfId="106" xr:uid="{00000000-0005-0000-0000-000036000000}"/>
    <cellStyle name="Komma" xfId="1" builtinId="3"/>
    <cellStyle name="Komma 2" xfId="63" xr:uid="{00000000-0005-0000-0000-000038000000}"/>
    <cellStyle name="Komma 2 2" xfId="64" xr:uid="{00000000-0005-0000-0000-000039000000}"/>
    <cellStyle name="Komma 3" xfId="65" xr:uid="{00000000-0005-0000-0000-00003A000000}"/>
    <cellStyle name="Komma 3 2" xfId="66" xr:uid="{00000000-0005-0000-0000-00003B000000}"/>
    <cellStyle name="Komma 4" xfId="9" xr:uid="{00000000-0005-0000-0000-00003C000000}"/>
    <cellStyle name="Linked Cell" xfId="67" xr:uid="{00000000-0005-0000-0000-00003D000000}"/>
    <cellStyle name="Migliaia 2" xfId="68" xr:uid="{00000000-0005-0000-0000-00003E000000}"/>
    <cellStyle name="Migliaia 3" xfId="8" xr:uid="{00000000-0005-0000-0000-00003F000000}"/>
    <cellStyle name="Migliaia 4 2" xfId="6" xr:uid="{00000000-0005-0000-0000-000040000000}"/>
    <cellStyle name="Migliaia 5" xfId="69" xr:uid="{00000000-0005-0000-0000-000041000000}"/>
    <cellStyle name="Normal 2" xfId="10" xr:uid="{00000000-0005-0000-0000-000042000000}"/>
    <cellStyle name="Normal_Sheet1" xfId="70" xr:uid="{00000000-0005-0000-0000-000043000000}"/>
    <cellStyle name="Normale 2" xfId="11" xr:uid="{00000000-0005-0000-0000-000044000000}"/>
    <cellStyle name="Normale 6 4" xfId="4" xr:uid="{00000000-0005-0000-0000-000045000000}"/>
    <cellStyle name="Note" xfId="71" xr:uid="{00000000-0005-0000-0000-000046000000}"/>
    <cellStyle name="Note 2" xfId="107" xr:uid="{00000000-0005-0000-0000-000047000000}"/>
    <cellStyle name="numberStyle" xfId="72" xr:uid="{00000000-0005-0000-0000-000048000000}"/>
    <cellStyle name="Output" xfId="73" xr:uid="{00000000-0005-0000-0000-000049000000}"/>
    <cellStyle name="Output 2" xfId="108" xr:uid="{00000000-0005-0000-0000-00004A000000}"/>
    <cellStyle name="Percentuale 2" xfId="12" xr:uid="{00000000-0005-0000-0000-00004B000000}"/>
    <cellStyle name="Percentuale 5 2" xfId="5" xr:uid="{00000000-0005-0000-0000-00004C000000}"/>
    <cellStyle name="Prozent" xfId="2" builtinId="5"/>
    <cellStyle name="Prozent 2" xfId="74" xr:uid="{00000000-0005-0000-0000-00004E000000}"/>
    <cellStyle name="Prozent 3" xfId="75" xr:uid="{00000000-0005-0000-0000-00004F000000}"/>
    <cellStyle name="Standard" xfId="0" builtinId="0"/>
    <cellStyle name="Standard 10" xfId="76" xr:uid="{00000000-0005-0000-0000-000051000000}"/>
    <cellStyle name="Standard 10 2 2 2" xfId="77" xr:uid="{00000000-0005-0000-0000-000052000000}"/>
    <cellStyle name="Standard 11" xfId="78" xr:uid="{00000000-0005-0000-0000-000053000000}"/>
    <cellStyle name="Standard 11 2" xfId="79" xr:uid="{00000000-0005-0000-0000-000054000000}"/>
    <cellStyle name="Standard 13" xfId="80" xr:uid="{00000000-0005-0000-0000-000055000000}"/>
    <cellStyle name="Standard 2" xfId="81" xr:uid="{00000000-0005-0000-0000-000056000000}"/>
    <cellStyle name="Standard 2 2" xfId="82" xr:uid="{00000000-0005-0000-0000-000057000000}"/>
    <cellStyle name="Standard 2 2 2" xfId="83" xr:uid="{00000000-0005-0000-0000-000058000000}"/>
    <cellStyle name="Standard 2 3" xfId="84" xr:uid="{00000000-0005-0000-0000-000059000000}"/>
    <cellStyle name="Standard 3" xfId="85" xr:uid="{00000000-0005-0000-0000-00005A000000}"/>
    <cellStyle name="Standard 3 2" xfId="86" xr:uid="{00000000-0005-0000-0000-00005B000000}"/>
    <cellStyle name="Standard 3_LTC-PnL" xfId="87" xr:uid="{00000000-0005-0000-0000-00005C000000}"/>
    <cellStyle name="Standard 4" xfId="88" xr:uid="{00000000-0005-0000-0000-00005D000000}"/>
    <cellStyle name="Standard 4 2" xfId="89" xr:uid="{00000000-0005-0000-0000-00005E000000}"/>
    <cellStyle name="Standard 5" xfId="90" xr:uid="{00000000-0005-0000-0000-00005F000000}"/>
    <cellStyle name="Standard 6" xfId="91" xr:uid="{00000000-0005-0000-0000-000060000000}"/>
    <cellStyle name="Standard 7" xfId="92" xr:uid="{00000000-0005-0000-0000-000061000000}"/>
    <cellStyle name="Standard 8" xfId="93" xr:uid="{00000000-0005-0000-0000-000062000000}"/>
    <cellStyle name="Standard 9" xfId="94" xr:uid="{00000000-0005-0000-0000-000063000000}"/>
    <cellStyle name="tariffHeadlineStyle" xfId="95" xr:uid="{00000000-0005-0000-0000-000064000000}"/>
    <cellStyle name="tariffStyle" xfId="96" xr:uid="{00000000-0005-0000-0000-000065000000}"/>
    <cellStyle name="Title" xfId="97" xr:uid="{00000000-0005-0000-0000-000066000000}"/>
    <cellStyle name="Total" xfId="98" xr:uid="{00000000-0005-0000-0000-000067000000}"/>
    <cellStyle name="Total 2" xfId="109" xr:uid="{00000000-0005-0000-0000-000068000000}"/>
    <cellStyle name="Überschrift 1 2" xfId="99" xr:uid="{00000000-0005-0000-0000-000069000000}"/>
    <cellStyle name="Überschrift 2 2" xfId="100" xr:uid="{00000000-0005-0000-0000-00006A000000}"/>
    <cellStyle name="Überschrift 5" xfId="101" xr:uid="{00000000-0005-0000-0000-00006B000000}"/>
    <cellStyle name="Undefiniert" xfId="102" xr:uid="{00000000-0005-0000-0000-00006C000000}"/>
    <cellStyle name="Warning Text" xfId="103" xr:uid="{00000000-0005-0000-0000-00006D000000}"/>
  </cellStyles>
  <dxfs count="3">
    <dxf>
      <font>
        <color theme="0" tint="-0.34998626667073579"/>
      </font>
    </dxf>
    <dxf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99FF66"/>
      <color rgb="FFFF99CC"/>
      <color rgb="FFFFFF99"/>
      <color rgb="FFB1A0C7"/>
      <color rgb="FF00DE64"/>
      <color rgb="FF00486A"/>
      <color rgb="FF007E69"/>
      <color rgb="FF009999"/>
      <color rgb="FFFFEB8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213360</xdr:colOff>
      <xdr:row>20</xdr:row>
      <xdr:rowOff>38100</xdr:rowOff>
    </xdr:from>
    <xdr:ext cx="5898391" cy="4282811"/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27120" y="3543300"/>
          <a:ext cx="5898391" cy="4282811"/>
        </a:xfrm>
        <a:prstGeom prst="rect">
          <a:avLst/>
        </a:prstGeom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487680</xdr:colOff>
      <xdr:row>0</xdr:row>
      <xdr:rowOff>60960</xdr:rowOff>
    </xdr:from>
    <xdr:ext cx="6271803" cy="2956816"/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608320" y="60960"/>
          <a:ext cx="6271803" cy="2956816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file:///\\cleaned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, Parameters"/>
      <sheetName val="adjusted Tariffs"/>
      <sheetName val="theor. Tariffs"/>
      <sheetName val="&gt;&gt;Calculations"/>
      <sheetName val="1 VP distances"/>
      <sheetName val="2a ENTRY tariffs"/>
      <sheetName val="2b EXIT tariffs"/>
      <sheetName val="3 ITCs"/>
      <sheetName val="Checks"/>
      <sheetName val="&gt;&gt;Inputs"/>
      <sheetName val="Capacities"/>
      <sheetName val="Coords, Distances"/>
      <sheetName val="DZK relations"/>
      <sheetName val="Tarife_gesamt reviewed"/>
      <sheetName val="CAA capacity"/>
      <sheetName val="CAA commodity"/>
      <sheetName val="VTPB"/>
    </sheetNames>
    <sheetDataSet>
      <sheetData sheetId="0">
        <row r="43">
          <cell r="E43">
            <v>400368650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>
        <row r="36">
          <cell r="C36">
            <v>288737341.04930234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G51"/>
  <sheetViews>
    <sheetView tabSelected="1" workbookViewId="0">
      <selection activeCell="G17" sqref="G17"/>
    </sheetView>
  </sheetViews>
  <sheetFormatPr baseColWidth="10" defaultColWidth="11.5703125" defaultRowHeight="15" x14ac:dyDescent="0.25"/>
  <cols>
    <col min="1" max="1" width="5.85546875" style="283" customWidth="1"/>
    <col min="2" max="2" width="28.28515625" style="283" customWidth="1"/>
    <col min="3" max="3" width="11.5703125" style="283" customWidth="1"/>
    <col min="4" max="4" width="16" style="283" customWidth="1"/>
    <col min="5" max="6" width="11.5703125" style="283" customWidth="1"/>
    <col min="7" max="16384" width="11.5703125" style="283"/>
  </cols>
  <sheetData>
    <row r="1" spans="1:7" x14ac:dyDescent="0.25">
      <c r="A1" s="569"/>
      <c r="B1" s="570" t="s">
        <v>430</v>
      </c>
      <c r="C1" s="570"/>
      <c r="D1" s="570"/>
      <c r="F1" s="113"/>
      <c r="G1" s="113"/>
    </row>
    <row r="2" spans="1:7" x14ac:dyDescent="0.25">
      <c r="A2" s="571"/>
      <c r="B2" s="570" t="s">
        <v>431</v>
      </c>
      <c r="C2" s="570"/>
      <c r="D2" s="570"/>
    </row>
    <row r="3" spans="1:7" x14ac:dyDescent="0.25">
      <c r="A3" s="572"/>
      <c r="B3" s="113"/>
      <c r="C3" s="113"/>
      <c r="D3" s="113"/>
      <c r="E3" s="113"/>
    </row>
    <row r="4" spans="1:7" ht="18.75" x14ac:dyDescent="0.3">
      <c r="A4" s="573" t="s">
        <v>432</v>
      </c>
      <c r="B4" s="574"/>
      <c r="C4" s="575"/>
      <c r="D4" s="576"/>
      <c r="E4" s="576"/>
      <c r="F4" s="576"/>
      <c r="G4" s="576"/>
    </row>
    <row r="5" spans="1:7" ht="15.75" thickBot="1" x14ac:dyDescent="0.3">
      <c r="A5" s="577"/>
      <c r="B5" s="577"/>
      <c r="C5" s="495"/>
      <c r="D5" s="493"/>
      <c r="E5" s="493"/>
      <c r="F5" s="492"/>
      <c r="G5" s="493"/>
    </row>
    <row r="6" spans="1:7" ht="16.5" x14ac:dyDescent="0.3">
      <c r="A6" s="578"/>
      <c r="B6" s="579"/>
      <c r="C6" s="580" t="s">
        <v>151</v>
      </c>
      <c r="D6" s="580" t="s">
        <v>1</v>
      </c>
      <c r="E6" s="581" t="s">
        <v>381</v>
      </c>
      <c r="F6" s="581" t="s">
        <v>383</v>
      </c>
      <c r="G6" s="582" t="s">
        <v>229</v>
      </c>
    </row>
    <row r="7" spans="1:7" ht="16.5" x14ac:dyDescent="0.3">
      <c r="A7" s="583" t="s">
        <v>441</v>
      </c>
      <c r="B7" s="584"/>
      <c r="C7" s="585" t="s">
        <v>433</v>
      </c>
      <c r="D7" s="585" t="s">
        <v>434</v>
      </c>
      <c r="E7" s="586" t="s">
        <v>382</v>
      </c>
      <c r="F7" s="586" t="s">
        <v>382</v>
      </c>
      <c r="G7" s="587" t="s">
        <v>230</v>
      </c>
    </row>
    <row r="8" spans="1:7" ht="16.5" thickBot="1" x14ac:dyDescent="0.35">
      <c r="A8" s="583"/>
      <c r="B8" s="584"/>
      <c r="C8" s="588" t="s">
        <v>145</v>
      </c>
      <c r="D8" s="588" t="s">
        <v>145</v>
      </c>
      <c r="E8" s="97" t="s">
        <v>145</v>
      </c>
      <c r="F8" s="97"/>
      <c r="G8" s="99" t="s">
        <v>145</v>
      </c>
    </row>
    <row r="9" spans="1:7" x14ac:dyDescent="0.25">
      <c r="A9" s="583" t="s">
        <v>3</v>
      </c>
      <c r="B9" s="584"/>
      <c r="C9" s="589">
        <f>Overview!G9</f>
        <v>0.84700000000000009</v>
      </c>
      <c r="D9" s="590">
        <f>Overview!H9</f>
        <v>0.77</v>
      </c>
      <c r="E9" s="590">
        <f>Overview!I9</f>
        <v>7.7000000000000068E-2</v>
      </c>
      <c r="F9" s="591">
        <f>Overview!J9</f>
        <v>0.10000000000000009</v>
      </c>
      <c r="G9" s="592">
        <f>Overview!K9</f>
        <v>2.2612212913395937</v>
      </c>
    </row>
    <row r="10" spans="1:7" x14ac:dyDescent="0.25">
      <c r="A10" s="583" t="s">
        <v>5</v>
      </c>
      <c r="B10" s="584"/>
      <c r="C10" s="593">
        <f>Overview!G10</f>
        <v>1.4300000000000002</v>
      </c>
      <c r="D10" s="461">
        <f>Overview!H10</f>
        <v>1.3</v>
      </c>
      <c r="E10" s="461">
        <f>Overview!I10</f>
        <v>0.13000000000000012</v>
      </c>
      <c r="F10" s="594">
        <f>Overview!J10</f>
        <v>0.10000000000000009</v>
      </c>
      <c r="G10" s="595">
        <f>Overview!K10</f>
        <v>2.2612212913395937</v>
      </c>
    </row>
    <row r="11" spans="1:7" x14ac:dyDescent="0.25">
      <c r="A11" s="583" t="s">
        <v>7</v>
      </c>
      <c r="B11" s="584"/>
      <c r="C11" s="593">
        <f>Overview!G11</f>
        <v>1.4300000000000002</v>
      </c>
      <c r="D11" s="461">
        <f>Overview!H11</f>
        <v>1.3</v>
      </c>
      <c r="E11" s="461">
        <f>Overview!I11</f>
        <v>0.13000000000000012</v>
      </c>
      <c r="F11" s="594">
        <f>Overview!J11</f>
        <v>0.10000000000000009</v>
      </c>
      <c r="G11" s="595">
        <f>Overview!K11</f>
        <v>2.2612212913395937</v>
      </c>
    </row>
    <row r="12" spans="1:7" x14ac:dyDescent="0.25">
      <c r="A12" s="583" t="s">
        <v>9</v>
      </c>
      <c r="B12" s="584"/>
      <c r="C12" s="593">
        <f>Overview!G12</f>
        <v>0.84700000000000009</v>
      </c>
      <c r="D12" s="461">
        <f>Overview!H12</f>
        <v>0.77</v>
      </c>
      <c r="E12" s="461">
        <f>Overview!I12</f>
        <v>7.7000000000000068E-2</v>
      </c>
      <c r="F12" s="594">
        <f>Overview!J12</f>
        <v>0.10000000000000009</v>
      </c>
      <c r="G12" s="595">
        <f>Overview!K12</f>
        <v>2.2612212913395937</v>
      </c>
    </row>
    <row r="13" spans="1:7" x14ac:dyDescent="0.25">
      <c r="A13" s="583" t="s">
        <v>11</v>
      </c>
      <c r="B13" s="584"/>
      <c r="C13" s="593">
        <f>Overview!G13</f>
        <v>1.2100000000000002</v>
      </c>
      <c r="D13" s="461">
        <f>Overview!H13</f>
        <v>1.1000000000000001</v>
      </c>
      <c r="E13" s="461">
        <f>Overview!I13</f>
        <v>0.1100000000000001</v>
      </c>
      <c r="F13" s="594">
        <f>Overview!J13</f>
        <v>0.10000000000000009</v>
      </c>
      <c r="G13" s="595">
        <f>Overview!K13</f>
        <v>2.2612212913395937</v>
      </c>
    </row>
    <row r="14" spans="1:7" x14ac:dyDescent="0.25">
      <c r="A14" s="583" t="s">
        <v>13</v>
      </c>
      <c r="B14" s="584"/>
      <c r="C14" s="593">
        <f>Overview!G14</f>
        <v>0.84700000000000009</v>
      </c>
      <c r="D14" s="461">
        <f>Overview!H14</f>
        <v>0.77</v>
      </c>
      <c r="E14" s="461">
        <f>Overview!I14</f>
        <v>7.7000000000000068E-2</v>
      </c>
      <c r="F14" s="594">
        <f>Overview!J14</f>
        <v>0.10000000000000009</v>
      </c>
      <c r="G14" s="595">
        <f>Overview!K14</f>
        <v>2.2612212913395937</v>
      </c>
    </row>
    <row r="15" spans="1:7" x14ac:dyDescent="0.25">
      <c r="A15" s="583" t="s">
        <v>15</v>
      </c>
      <c r="B15" s="584"/>
      <c r="C15" s="593">
        <f>Overview!G15</f>
        <v>1.2355788651288975</v>
      </c>
      <c r="D15" s="461">
        <f>Overview!H15</f>
        <v>1.1200000000000001</v>
      </c>
      <c r="E15" s="461">
        <f>Overview!I15</f>
        <v>0.11557886512889737</v>
      </c>
      <c r="F15" s="594">
        <f>Overview!J15</f>
        <v>0.10319541529365828</v>
      </c>
      <c r="G15" s="595">
        <f>Overview!K15</f>
        <v>0.52456860735718447</v>
      </c>
    </row>
    <row r="16" spans="1:7" x14ac:dyDescent="0.25">
      <c r="A16" s="583" t="s">
        <v>17</v>
      </c>
      <c r="B16" s="584"/>
      <c r="C16" s="593">
        <f>Overview!G16</f>
        <v>3.32489101812113</v>
      </c>
      <c r="D16" s="461">
        <f>Overview!H16</f>
        <v>3.44</v>
      </c>
      <c r="E16" s="461">
        <f>Overview!I16</f>
        <v>-0.11510898187886998</v>
      </c>
      <c r="F16" s="594">
        <f>Overview!J16</f>
        <v>-3.3461913336880755E-2</v>
      </c>
      <c r="G16" s="595">
        <f>Overview!K16</f>
        <v>1.7370981416419853</v>
      </c>
    </row>
    <row r="17" spans="1:7" x14ac:dyDescent="0.25">
      <c r="A17" s="583" t="s">
        <v>19</v>
      </c>
      <c r="B17" s="584"/>
      <c r="C17" s="593">
        <f>Overview!G17</f>
        <v>2.2284547388931903</v>
      </c>
      <c r="D17" s="461">
        <f>Overview!H17</f>
        <v>3.33</v>
      </c>
      <c r="E17" s="461">
        <f>Overview!I17</f>
        <v>-1.1015452611068097</v>
      </c>
      <c r="F17" s="594">
        <f>Overview!J17</f>
        <v>-0.33079437270474765</v>
      </c>
      <c r="G17" s="595">
        <f>Overview!K17</f>
        <v>2.0747349481932349</v>
      </c>
    </row>
    <row r="18" spans="1:7" x14ac:dyDescent="0.25">
      <c r="A18" s="583" t="s">
        <v>21</v>
      </c>
      <c r="B18" s="584"/>
      <c r="C18" s="593">
        <f>Overview!G18</f>
        <v>1.2355788651288975</v>
      </c>
      <c r="D18" s="461">
        <f>Overview!H18</f>
        <v>1.1200000000000001</v>
      </c>
      <c r="E18" s="461">
        <f>Overview!I18</f>
        <v>0.11557886512889737</v>
      </c>
      <c r="F18" s="594">
        <f>Overview!J18</f>
        <v>0.10319541529365828</v>
      </c>
      <c r="G18" s="595">
        <f>Overview!K18</f>
        <v>0.52456860735718447</v>
      </c>
    </row>
    <row r="19" spans="1:7" x14ac:dyDescent="0.25">
      <c r="A19" s="583" t="s">
        <v>442</v>
      </c>
      <c r="B19" s="584"/>
      <c r="C19" s="593">
        <f>Overview!G19</f>
        <v>1.2355788651288975</v>
      </c>
      <c r="D19" s="461">
        <f>Overview!H19</f>
        <v>1.1200000000000001</v>
      </c>
      <c r="E19" s="461">
        <f>Overview!I19</f>
        <v>0.11557886512889737</v>
      </c>
      <c r="F19" s="594">
        <f>Overview!J19</f>
        <v>0.10319541529365828</v>
      </c>
      <c r="G19" s="595">
        <f>Overview!K19</f>
        <v>0.52456860735718447</v>
      </c>
    </row>
    <row r="20" spans="1:7" x14ac:dyDescent="0.25">
      <c r="A20" s="583" t="s">
        <v>443</v>
      </c>
      <c r="B20" s="584"/>
      <c r="C20" s="593">
        <f>Overview!G20</f>
        <v>0.53228218552289408</v>
      </c>
      <c r="D20" s="461">
        <f>Overview!H20</f>
        <v>0.53</v>
      </c>
      <c r="E20" s="461">
        <f>Overview!I20</f>
        <v>2.2821855228940535E-3</v>
      </c>
      <c r="F20" s="594">
        <f>Overview!J20</f>
        <v>4.3060104205547844E-3</v>
      </c>
      <c r="G20" s="595">
        <f>Overview!K20</f>
        <v>0.58374906275947602</v>
      </c>
    </row>
    <row r="21" spans="1:7" x14ac:dyDescent="0.25">
      <c r="A21" s="583" t="s">
        <v>444</v>
      </c>
      <c r="B21" s="584"/>
      <c r="C21" s="593">
        <f>Overview!G21</f>
        <v>0</v>
      </c>
      <c r="D21" s="461">
        <f>Overview!H21</f>
        <v>0</v>
      </c>
      <c r="E21" s="461">
        <f>Overview!I21</f>
        <v>0</v>
      </c>
      <c r="F21" s="594" t="str">
        <f>Overview!J21</f>
        <v/>
      </c>
      <c r="G21" s="595">
        <f>Overview!K21</f>
        <v>2.2612212913395937</v>
      </c>
    </row>
    <row r="22" spans="1:7" x14ac:dyDescent="0.25">
      <c r="A22" s="583" t="s">
        <v>28</v>
      </c>
      <c r="B22" s="584"/>
      <c r="C22" s="593">
        <f>Overview!G22</f>
        <v>3.32489101812113</v>
      </c>
      <c r="D22" s="461">
        <f>Overview!H22</f>
        <v>3.44</v>
      </c>
      <c r="E22" s="461">
        <f>Overview!I22</f>
        <v>-0.11510898187886998</v>
      </c>
      <c r="F22" s="594">
        <f>Overview!J22</f>
        <v>-3.3461913336880755E-2</v>
      </c>
      <c r="G22" s="595">
        <f>Overview!K22</f>
        <v>1.7370981416419853</v>
      </c>
    </row>
    <row r="23" spans="1:7" x14ac:dyDescent="0.25">
      <c r="A23" s="583" t="s">
        <v>445</v>
      </c>
      <c r="B23" s="584"/>
      <c r="C23" s="593">
        <f>Overview!G23</f>
        <v>1.2870000000000001</v>
      </c>
      <c r="D23" s="461">
        <f>Overview!H23</f>
        <v>1.1700000000000002</v>
      </c>
      <c r="E23" s="461">
        <f>Overview!I23</f>
        <v>0.11699999999999999</v>
      </c>
      <c r="F23" s="594">
        <f>Overview!J23</f>
        <v>0.10000000000000009</v>
      </c>
      <c r="G23" s="595">
        <f>Overview!K23</f>
        <v>2.0350991622056345</v>
      </c>
    </row>
    <row r="24" spans="1:7" x14ac:dyDescent="0.25">
      <c r="A24" s="583" t="s">
        <v>446</v>
      </c>
      <c r="B24" s="584"/>
      <c r="C24" s="593">
        <f>Overview!G24</f>
        <v>0.47905396697060471</v>
      </c>
      <c r="D24" s="461">
        <f>Overview!H24</f>
        <v>0.48</v>
      </c>
      <c r="E24" s="461">
        <f>Overview!I24</f>
        <v>-9.4603302939527678E-4</v>
      </c>
      <c r="F24" s="594">
        <f>Overview!J24</f>
        <v>-1.9709021445735164E-3</v>
      </c>
      <c r="G24" s="595">
        <f>Overview!K24</f>
        <v>0.52537415648352837</v>
      </c>
    </row>
    <row r="25" spans="1:7" x14ac:dyDescent="0.25">
      <c r="A25" s="583" t="s">
        <v>447</v>
      </c>
      <c r="B25" s="584"/>
      <c r="C25" s="593">
        <f>Overview!G25</f>
        <v>0.47905396697060471</v>
      </c>
      <c r="D25" s="461">
        <f>Overview!H25</f>
        <v>0.48</v>
      </c>
      <c r="E25" s="461">
        <f>Overview!I25</f>
        <v>-9.4603302939527678E-4</v>
      </c>
      <c r="F25" s="594">
        <f>Overview!J25</f>
        <v>-1.9709021445735164E-3</v>
      </c>
      <c r="G25" s="595">
        <f>Overview!K25</f>
        <v>0.52537415648352837</v>
      </c>
    </row>
    <row r="26" spans="1:7" x14ac:dyDescent="0.25">
      <c r="A26" s="583" t="s">
        <v>448</v>
      </c>
      <c r="B26" s="584"/>
      <c r="C26" s="593">
        <f>Overview!G26</f>
        <v>2.9924019163090172</v>
      </c>
      <c r="D26" s="461">
        <f>Overview!H26</f>
        <v>2.99</v>
      </c>
      <c r="E26" s="461">
        <f>Overview!I26</f>
        <v>2.4019163090169826E-3</v>
      </c>
      <c r="F26" s="594">
        <f>Overview!J26</f>
        <v>8.0331649130993554E-4</v>
      </c>
      <c r="G26" s="595">
        <f>Overview!K26</f>
        <v>1.5633883274777867</v>
      </c>
    </row>
    <row r="27" spans="1:7" x14ac:dyDescent="0.25">
      <c r="A27" s="583" t="s">
        <v>449</v>
      </c>
      <c r="B27" s="584"/>
      <c r="C27" s="593">
        <f>Overview!G27</f>
        <v>0.14000000000000001</v>
      </c>
      <c r="D27" s="461">
        <f>Overview!H27</f>
        <v>0.14000000000000001</v>
      </c>
      <c r="E27" s="461">
        <f>Overview!I27</f>
        <v>0</v>
      </c>
      <c r="F27" s="594">
        <f>Overview!J27</f>
        <v>0</v>
      </c>
      <c r="G27" s="595" t="str">
        <f>Overview!K27</f>
        <v>n.a.</v>
      </c>
    </row>
    <row r="28" spans="1:7" x14ac:dyDescent="0.25">
      <c r="A28" s="583" t="s">
        <v>450</v>
      </c>
      <c r="B28" s="584"/>
      <c r="C28" s="593">
        <f>Overview!G28</f>
        <v>0.14000000000000001</v>
      </c>
      <c r="D28" s="461">
        <f>Overview!H28</f>
        <v>0.14000000000000001</v>
      </c>
      <c r="E28" s="461">
        <f>Overview!I28</f>
        <v>0</v>
      </c>
      <c r="F28" s="594">
        <f>Overview!J28</f>
        <v>0</v>
      </c>
      <c r="G28" s="595" t="str">
        <f>Overview!K28</f>
        <v>n.a.</v>
      </c>
    </row>
    <row r="29" spans="1:7" x14ac:dyDescent="0.25">
      <c r="A29" s="583" t="s">
        <v>451</v>
      </c>
      <c r="B29" s="584"/>
      <c r="C29" s="593">
        <f>Overview!G29</f>
        <v>0.4412781661174634</v>
      </c>
      <c r="D29" s="461">
        <f>Overview!H29</f>
        <v>0.4</v>
      </c>
      <c r="E29" s="461">
        <f>Overview!I29</f>
        <v>4.1278166117463377E-2</v>
      </c>
      <c r="F29" s="594">
        <f>Overview!J29</f>
        <v>0.1031954152936585</v>
      </c>
      <c r="G29" s="595">
        <f>Overview!K29</f>
        <v>0.51674579464262138</v>
      </c>
    </row>
    <row r="30" spans="1:7" x14ac:dyDescent="0.25">
      <c r="A30" s="583" t="s">
        <v>452</v>
      </c>
      <c r="B30" s="584"/>
      <c r="C30" s="593">
        <f>Overview!G30</f>
        <v>0</v>
      </c>
      <c r="D30" s="461">
        <f>Overview!H30</f>
        <v>0</v>
      </c>
      <c r="E30" s="461">
        <f>Overview!I30</f>
        <v>0</v>
      </c>
      <c r="F30" s="594" t="str">
        <f>Overview!J30</f>
        <v/>
      </c>
      <c r="G30" s="595" t="str">
        <f>Overview!K30</f>
        <v>n.a.</v>
      </c>
    </row>
    <row r="31" spans="1:7" x14ac:dyDescent="0.25">
      <c r="A31" s="583" t="s">
        <v>453</v>
      </c>
      <c r="B31" s="584"/>
      <c r="C31" s="593">
        <f>Overview!G31</f>
        <v>0</v>
      </c>
      <c r="D31" s="461">
        <f>Overview!H31</f>
        <v>0</v>
      </c>
      <c r="E31" s="461">
        <f>Overview!I31</f>
        <v>0</v>
      </c>
      <c r="F31" s="594" t="str">
        <f>Overview!J31</f>
        <v/>
      </c>
      <c r="G31" s="595" t="str">
        <f>Overview!K31</f>
        <v>n.a.</v>
      </c>
    </row>
    <row r="32" spans="1:7" ht="15.75" thickBot="1" x14ac:dyDescent="0.3">
      <c r="A32" s="596" t="s">
        <v>454</v>
      </c>
      <c r="B32" s="597"/>
      <c r="C32" s="598">
        <f>Overview!G32</f>
        <v>0.4412781661174634</v>
      </c>
      <c r="D32" s="462">
        <f>Overview!H32</f>
        <v>0.4</v>
      </c>
      <c r="E32" s="462">
        <f>Overview!I32</f>
        <v>4.1278166117463377E-2</v>
      </c>
      <c r="F32" s="599">
        <f>Overview!J32</f>
        <v>0.1031954152936585</v>
      </c>
      <c r="G32" s="600">
        <f>Overview!K32</f>
        <v>0.51674579464262138</v>
      </c>
    </row>
    <row r="33" spans="1:7" x14ac:dyDescent="0.25">
      <c r="A33" s="570"/>
      <c r="B33" s="570"/>
      <c r="C33" s="570"/>
      <c r="D33" s="570"/>
    </row>
    <row r="34" spans="1:7" ht="18.75" x14ac:dyDescent="0.3">
      <c r="A34" s="573" t="s">
        <v>435</v>
      </c>
      <c r="B34" s="574"/>
      <c r="C34" s="575"/>
      <c r="D34" s="576"/>
      <c r="E34" s="576"/>
      <c r="F34" s="576"/>
      <c r="G34" s="576"/>
    </row>
    <row r="35" spans="1:7" ht="15.75" thickBot="1" x14ac:dyDescent="0.3">
      <c r="A35" s="577"/>
      <c r="B35" s="577"/>
      <c r="C35" s="495"/>
      <c r="D35" s="493"/>
      <c r="E35" s="493"/>
      <c r="F35" s="492"/>
      <c r="G35" s="493"/>
    </row>
    <row r="36" spans="1:7" ht="16.5" x14ac:dyDescent="0.3">
      <c r="A36" s="578"/>
      <c r="B36" s="579"/>
      <c r="C36" s="580" t="s">
        <v>151</v>
      </c>
      <c r="D36" s="580" t="s">
        <v>1</v>
      </c>
      <c r="E36" s="581" t="s">
        <v>381</v>
      </c>
      <c r="F36" s="581" t="s">
        <v>383</v>
      </c>
      <c r="G36" s="582" t="s">
        <v>229</v>
      </c>
    </row>
    <row r="37" spans="1:7" ht="16.5" x14ac:dyDescent="0.3">
      <c r="A37" s="583" t="s">
        <v>441</v>
      </c>
      <c r="B37" s="584"/>
      <c r="C37" s="585" t="s">
        <v>433</v>
      </c>
      <c r="D37" s="585" t="s">
        <v>434</v>
      </c>
      <c r="E37" s="586" t="s">
        <v>382</v>
      </c>
      <c r="F37" s="586" t="s">
        <v>382</v>
      </c>
      <c r="G37" s="587" t="s">
        <v>230</v>
      </c>
    </row>
    <row r="38" spans="1:7" ht="16.5" thickBot="1" x14ac:dyDescent="0.35">
      <c r="A38" s="583"/>
      <c r="B38" s="584"/>
      <c r="C38" s="588" t="s">
        <v>145</v>
      </c>
      <c r="D38" s="588" t="s">
        <v>145</v>
      </c>
      <c r="E38" s="97" t="s">
        <v>145</v>
      </c>
      <c r="F38" s="97"/>
      <c r="G38" s="99" t="s">
        <v>145</v>
      </c>
    </row>
    <row r="39" spans="1:7" x14ac:dyDescent="0.25">
      <c r="A39" s="583" t="s">
        <v>3</v>
      </c>
      <c r="B39" s="584"/>
      <c r="C39" s="589">
        <f>Overview!G46</f>
        <v>0.84700000000000009</v>
      </c>
      <c r="D39" s="601">
        <f>Overview!H46</f>
        <v>0.77</v>
      </c>
      <c r="E39" s="601">
        <f>Overview!I46</f>
        <v>7.7000000000000068E-2</v>
      </c>
      <c r="F39" s="602">
        <f>Overview!J46</f>
        <v>0.10000000000000009</v>
      </c>
      <c r="G39" s="603">
        <f>Overview!K46</f>
        <v>2.2612212913395937</v>
      </c>
    </row>
    <row r="40" spans="1:7" x14ac:dyDescent="0.25">
      <c r="A40" s="583" t="s">
        <v>49</v>
      </c>
      <c r="B40" s="584"/>
      <c r="C40" s="593">
        <f>Overview!G47</f>
        <v>1.4300000000000002</v>
      </c>
      <c r="D40" s="94">
        <f>Overview!H47</f>
        <v>1.3</v>
      </c>
      <c r="E40" s="94">
        <f>Overview!I47</f>
        <v>0.13000000000000012</v>
      </c>
      <c r="F40" s="463">
        <f>Overview!J47</f>
        <v>0.10000000000000009</v>
      </c>
      <c r="G40" s="604">
        <f>Overview!K47</f>
        <v>2.2612212913395937</v>
      </c>
    </row>
    <row r="41" spans="1:7" x14ac:dyDescent="0.25">
      <c r="A41" s="583" t="s">
        <v>51</v>
      </c>
      <c r="B41" s="584"/>
      <c r="C41" s="593">
        <f>Overview!G48</f>
        <v>5.093</v>
      </c>
      <c r="D41" s="94">
        <f>Overview!H48</f>
        <v>4.63</v>
      </c>
      <c r="E41" s="94">
        <f>Overview!I48</f>
        <v>0.46300000000000008</v>
      </c>
      <c r="F41" s="463">
        <f>Overview!J48</f>
        <v>0.10000000000000009</v>
      </c>
      <c r="G41" s="604">
        <f>Overview!K48</f>
        <v>3.1310554412222964</v>
      </c>
    </row>
    <row r="42" spans="1:7" x14ac:dyDescent="0.25">
      <c r="A42" s="583" t="s">
        <v>25</v>
      </c>
      <c r="B42" s="584"/>
      <c r="C42" s="593">
        <f>Overview!G49</f>
        <v>0.53228218552289408</v>
      </c>
      <c r="D42" s="94">
        <f>Overview!H49</f>
        <v>0.53</v>
      </c>
      <c r="E42" s="94">
        <f>Overview!I49</f>
        <v>2.2821855228940535E-3</v>
      </c>
      <c r="F42" s="463">
        <f>Overview!J49</f>
        <v>4.3060104205547844E-3</v>
      </c>
      <c r="G42" s="604">
        <f>Overview!K49</f>
        <v>0.58374906275947602</v>
      </c>
    </row>
    <row r="43" spans="1:7" x14ac:dyDescent="0.25">
      <c r="A43" s="583" t="s">
        <v>455</v>
      </c>
      <c r="B43" s="584"/>
      <c r="C43" s="593">
        <f>Overview!G50</f>
        <v>4.620000000000001</v>
      </c>
      <c r="D43" s="94">
        <f>Overview!H50</f>
        <v>4.2</v>
      </c>
      <c r="E43" s="94">
        <f>Overview!I50</f>
        <v>0.42000000000000082</v>
      </c>
      <c r="F43" s="463">
        <f>Overview!J50</f>
        <v>0.10000000000000009</v>
      </c>
      <c r="G43" s="604">
        <f>Overview!K50</f>
        <v>2.8005345396999974</v>
      </c>
    </row>
    <row r="44" spans="1:7" ht="15.75" thickBot="1" x14ac:dyDescent="0.3">
      <c r="A44" s="596" t="s">
        <v>456</v>
      </c>
      <c r="B44" s="597"/>
      <c r="C44" s="598">
        <f>Overview!G51</f>
        <v>0.68200000000000005</v>
      </c>
      <c r="D44" s="108">
        <f>Overview!H51</f>
        <v>0.62</v>
      </c>
      <c r="E44" s="108">
        <f>Overview!I51</f>
        <v>6.2000000000000055E-2</v>
      </c>
      <c r="F44" s="464">
        <f>Overview!J51</f>
        <v>0.10000000000000009</v>
      </c>
      <c r="G44" s="605">
        <f>Overview!K51</f>
        <v>2.0350991622056345</v>
      </c>
    </row>
    <row r="45" spans="1:7" x14ac:dyDescent="0.25">
      <c r="A45" s="570"/>
      <c r="B45" s="570"/>
      <c r="C45" s="570"/>
      <c r="D45" s="570"/>
    </row>
    <row r="46" spans="1:7" ht="18.75" x14ac:dyDescent="0.3">
      <c r="A46" s="573" t="s">
        <v>436</v>
      </c>
      <c r="B46" s="574"/>
      <c r="C46" s="570"/>
      <c r="D46" s="570"/>
    </row>
    <row r="47" spans="1:7" ht="15.75" thickBot="1" x14ac:dyDescent="0.3"/>
    <row r="48" spans="1:7" ht="15.75" thickBot="1" x14ac:dyDescent="0.3">
      <c r="A48" s="634" t="s">
        <v>437</v>
      </c>
      <c r="B48" s="635"/>
      <c r="C48" s="636"/>
      <c r="D48" s="606">
        <f>Overview!C12</f>
        <v>0.19772944597036973</v>
      </c>
    </row>
    <row r="49" spans="1:4" ht="15.75" thickBot="1" x14ac:dyDescent="0.3">
      <c r="A49" s="607" t="s">
        <v>196</v>
      </c>
      <c r="B49" s="608"/>
      <c r="C49" s="609"/>
      <c r="D49" s="610">
        <f>Overview!C19</f>
        <v>9.952092817139474E-2</v>
      </c>
    </row>
    <row r="50" spans="1:4" ht="15.75" thickBot="1" x14ac:dyDescent="0.3">
      <c r="A50" s="607" t="s">
        <v>148</v>
      </c>
      <c r="B50" s="608"/>
      <c r="C50" s="609"/>
      <c r="D50" s="611">
        <f>Overview!C13</f>
        <v>454265000</v>
      </c>
    </row>
    <row r="51" spans="1:4" ht="15.75" thickBot="1" x14ac:dyDescent="0.3">
      <c r="A51" s="607" t="s">
        <v>415</v>
      </c>
      <c r="B51" s="608"/>
      <c r="C51" s="609"/>
      <c r="D51" s="612">
        <f>Overview!C20</f>
        <v>6.8004578721324996E-2</v>
      </c>
    </row>
  </sheetData>
  <sheetProtection password="9162" sheet="1" objects="1" scenarios="1" selectLockedCells="1"/>
  <mergeCells count="1">
    <mergeCell ref="A48:C48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4" workbookViewId="0">
      <selection activeCell="F5" sqref="F5"/>
    </sheetView>
  </sheetViews>
  <sheetFormatPr baseColWidth="10" defaultColWidth="11.5703125" defaultRowHeight="15" x14ac:dyDescent="0.25"/>
  <cols>
    <col min="1" max="16384" width="11.5703125" style="283"/>
  </cols>
  <sheetData/>
  <sheetProtection password="9162" sheet="1" objects="1" scenarios="1" selectLockedCells="1"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3"/>
  <sheetViews>
    <sheetView zoomScale="85" zoomScaleNormal="85" workbookViewId="0">
      <selection activeCell="C5" sqref="C5"/>
    </sheetView>
  </sheetViews>
  <sheetFormatPr baseColWidth="10" defaultColWidth="11.5703125" defaultRowHeight="15" x14ac:dyDescent="0.25"/>
  <cols>
    <col min="1" max="1" width="5.85546875" style="283" customWidth="1"/>
    <col min="2" max="2" width="32.7109375" style="283" bestFit="1" customWidth="1"/>
    <col min="3" max="7" width="12.42578125" style="283" customWidth="1"/>
    <col min="8" max="8" width="11.5703125" style="283" bestFit="1" customWidth="1"/>
    <col min="9" max="9" width="11.5703125" style="283"/>
    <col min="10" max="10" width="14.140625" style="283" bestFit="1" customWidth="1"/>
    <col min="11" max="11" width="12.140625" style="283" bestFit="1" customWidth="1"/>
    <col min="12" max="16384" width="11.5703125" style="283"/>
  </cols>
  <sheetData>
    <row r="1" spans="1:11" x14ac:dyDescent="0.25">
      <c r="A1" s="569"/>
      <c r="B1" s="283" t="s">
        <v>430</v>
      </c>
      <c r="C1" s="43"/>
      <c r="D1" s="43"/>
      <c r="E1" s="43"/>
      <c r="F1" s="43"/>
      <c r="G1" s="43"/>
      <c r="H1" s="43"/>
    </row>
    <row r="2" spans="1:11" x14ac:dyDescent="0.25">
      <c r="A2" s="613"/>
      <c r="B2" s="283" t="s">
        <v>431</v>
      </c>
      <c r="C2" s="381"/>
      <c r="D2" s="43"/>
      <c r="E2" s="43"/>
      <c r="F2" s="43"/>
      <c r="G2" s="43"/>
      <c r="H2" s="43"/>
    </row>
    <row r="3" spans="1:11" ht="15.75" thickBot="1" x14ac:dyDescent="0.3">
      <c r="A3" s="113"/>
      <c r="C3" s="382"/>
      <c r="D3" s="381"/>
      <c r="E3" s="381"/>
      <c r="F3" s="381"/>
      <c r="G3" s="381"/>
      <c r="H3" s="381"/>
    </row>
    <row r="4" spans="1:11" x14ac:dyDescent="0.25">
      <c r="A4" s="639" t="s">
        <v>370</v>
      </c>
      <c r="B4" s="640"/>
      <c r="C4" s="632">
        <f>C5+C6</f>
        <v>141996100</v>
      </c>
      <c r="D4" s="382"/>
      <c r="E4" s="382"/>
      <c r="F4" s="382"/>
      <c r="G4" s="382"/>
      <c r="H4" s="382"/>
    </row>
    <row r="5" spans="1:11" x14ac:dyDescent="0.25">
      <c r="A5" s="641" t="s">
        <v>371</v>
      </c>
      <c r="B5" s="642"/>
      <c r="C5" s="630">
        <v>10636400</v>
      </c>
      <c r="D5" s="382"/>
      <c r="E5" s="382"/>
      <c r="F5" s="382"/>
      <c r="G5" s="382"/>
      <c r="H5" s="382"/>
    </row>
    <row r="6" spans="1:11" x14ac:dyDescent="0.25">
      <c r="A6" s="641" t="s">
        <v>372</v>
      </c>
      <c r="B6" s="642"/>
      <c r="C6" s="630">
        <v>131359700</v>
      </c>
      <c r="D6" s="382"/>
      <c r="E6" s="382"/>
      <c r="F6" s="382"/>
      <c r="G6" s="382"/>
      <c r="H6" s="382"/>
    </row>
    <row r="7" spans="1:11" x14ac:dyDescent="0.25">
      <c r="A7" s="641" t="s">
        <v>373</v>
      </c>
      <c r="B7" s="642"/>
      <c r="C7" s="633">
        <f>C8+C9</f>
        <v>312268900</v>
      </c>
      <c r="D7" s="382"/>
      <c r="E7" s="382"/>
      <c r="F7" s="382"/>
      <c r="G7" s="382"/>
      <c r="H7" s="382"/>
      <c r="J7" s="38"/>
    </row>
    <row r="8" spans="1:11" x14ac:dyDescent="0.25">
      <c r="A8" s="641" t="s">
        <v>374</v>
      </c>
      <c r="B8" s="642"/>
      <c r="C8" s="630">
        <v>97065300</v>
      </c>
      <c r="D8" s="382"/>
      <c r="E8" s="383"/>
      <c r="F8" s="382"/>
      <c r="G8" s="382"/>
      <c r="H8" s="382"/>
      <c r="J8" s="38"/>
      <c r="K8" s="38"/>
    </row>
    <row r="9" spans="1:11" ht="15.75" thickBot="1" x14ac:dyDescent="0.3">
      <c r="A9" s="637" t="s">
        <v>375</v>
      </c>
      <c r="B9" s="638"/>
      <c r="C9" s="631">
        <v>215203600</v>
      </c>
      <c r="D9" s="382"/>
      <c r="E9" s="382"/>
      <c r="F9" s="382"/>
      <c r="G9" s="382"/>
      <c r="H9" s="382"/>
    </row>
    <row r="10" spans="1:11" x14ac:dyDescent="0.25">
      <c r="C10" s="55"/>
      <c r="D10" s="55"/>
      <c r="E10" s="55"/>
      <c r="F10" s="55"/>
      <c r="G10" s="55"/>
      <c r="H10" s="55"/>
    </row>
    <row r="12" spans="1:11" x14ac:dyDescent="0.25">
      <c r="B12" s="75"/>
      <c r="C12" s="82"/>
      <c r="D12" s="82"/>
      <c r="F12" s="372"/>
      <c r="G12" s="372"/>
      <c r="H12" s="373"/>
    </row>
    <row r="13" spans="1:11" x14ac:dyDescent="0.25">
      <c r="B13" s="75"/>
      <c r="C13" s="82"/>
      <c r="D13" s="82"/>
      <c r="F13" s="266"/>
    </row>
  </sheetData>
  <sheetProtection password="9162" sheet="1" objects="1" scenarios="1" selectLockedCells="1"/>
  <mergeCells count="6">
    <mergeCell ref="A9:B9"/>
    <mergeCell ref="A4:B4"/>
    <mergeCell ref="A5:B5"/>
    <mergeCell ref="A6:B6"/>
    <mergeCell ref="A7:B7"/>
    <mergeCell ref="A8:B8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34"/>
  <sheetViews>
    <sheetView workbookViewId="0">
      <selection activeCell="F14" sqref="F14"/>
    </sheetView>
  </sheetViews>
  <sheetFormatPr baseColWidth="10" defaultColWidth="11.5703125" defaultRowHeight="15" x14ac:dyDescent="0.25"/>
  <cols>
    <col min="1" max="1" width="5.85546875" style="283" customWidth="1"/>
    <col min="2" max="2" width="8.5703125" style="283" bestFit="1" customWidth="1"/>
    <col min="3" max="3" width="6" style="283" customWidth="1"/>
    <col min="4" max="4" width="12.85546875" style="283" customWidth="1"/>
    <col min="5" max="5" width="23.28515625" style="283" customWidth="1"/>
    <col min="6" max="6" width="12.42578125" style="283" customWidth="1"/>
    <col min="7" max="16384" width="11.5703125" style="283"/>
  </cols>
  <sheetData>
    <row r="1" spans="1:6" x14ac:dyDescent="0.25">
      <c r="A1" s="569"/>
      <c r="B1" s="283" t="s">
        <v>430</v>
      </c>
    </row>
    <row r="2" spans="1:6" x14ac:dyDescent="0.25">
      <c r="A2" s="613"/>
      <c r="B2" s="283" t="s">
        <v>431</v>
      </c>
    </row>
    <row r="3" spans="1:6" ht="15.75" thickBot="1" x14ac:dyDescent="0.3">
      <c r="A3" s="113"/>
    </row>
    <row r="4" spans="1:6" ht="45.75" thickBot="1" x14ac:dyDescent="0.3">
      <c r="A4" s="614" t="s">
        <v>79</v>
      </c>
      <c r="B4" s="615" t="s">
        <v>80</v>
      </c>
      <c r="C4" s="615" t="s">
        <v>81</v>
      </c>
      <c r="D4" s="615" t="s">
        <v>64</v>
      </c>
      <c r="E4" s="615" t="s">
        <v>82</v>
      </c>
      <c r="F4" s="616" t="s">
        <v>438</v>
      </c>
    </row>
    <row r="5" spans="1:6" x14ac:dyDescent="0.25">
      <c r="A5" s="617" t="s">
        <v>0</v>
      </c>
      <c r="B5" s="257" t="s">
        <v>71</v>
      </c>
      <c r="C5" s="257" t="s">
        <v>84</v>
      </c>
      <c r="D5" s="257" t="s">
        <v>99</v>
      </c>
      <c r="E5" s="618" t="s">
        <v>72</v>
      </c>
      <c r="F5" s="619">
        <v>24228218.73</v>
      </c>
    </row>
    <row r="6" spans="1:6" x14ac:dyDescent="0.25">
      <c r="A6" s="620" t="s">
        <v>0</v>
      </c>
      <c r="B6" s="183" t="s">
        <v>71</v>
      </c>
      <c r="C6" s="183" t="s">
        <v>84</v>
      </c>
      <c r="D6" s="183" t="s">
        <v>99</v>
      </c>
      <c r="E6" s="621" t="s">
        <v>73</v>
      </c>
      <c r="F6" s="622">
        <v>9651005.7300000004</v>
      </c>
    </row>
    <row r="7" spans="1:6" x14ac:dyDescent="0.25">
      <c r="A7" s="620" t="s">
        <v>0</v>
      </c>
      <c r="B7" s="183" t="s">
        <v>71</v>
      </c>
      <c r="C7" s="183" t="s">
        <v>84</v>
      </c>
      <c r="D7" s="183" t="s">
        <v>99</v>
      </c>
      <c r="E7" s="621" t="s">
        <v>74</v>
      </c>
      <c r="F7" s="622">
        <v>1393155</v>
      </c>
    </row>
    <row r="8" spans="1:6" x14ac:dyDescent="0.25">
      <c r="A8" s="620" t="s">
        <v>0</v>
      </c>
      <c r="B8" s="183" t="s">
        <v>71</v>
      </c>
      <c r="C8" s="183" t="s">
        <v>84</v>
      </c>
      <c r="D8" s="183" t="s">
        <v>99</v>
      </c>
      <c r="E8" s="621" t="s">
        <v>110</v>
      </c>
      <c r="F8" s="622">
        <v>0</v>
      </c>
    </row>
    <row r="9" spans="1:6" x14ac:dyDescent="0.25">
      <c r="A9" s="620" t="s">
        <v>0</v>
      </c>
      <c r="B9" s="183" t="s">
        <v>71</v>
      </c>
      <c r="C9" s="183" t="s">
        <v>84</v>
      </c>
      <c r="D9" s="183" t="s">
        <v>99</v>
      </c>
      <c r="E9" s="621" t="s">
        <v>87</v>
      </c>
      <c r="F9" s="622">
        <v>0</v>
      </c>
    </row>
    <row r="10" spans="1:6" x14ac:dyDescent="0.25">
      <c r="A10" s="620" t="s">
        <v>0</v>
      </c>
      <c r="B10" s="183" t="s">
        <v>71</v>
      </c>
      <c r="C10" s="183" t="s">
        <v>84</v>
      </c>
      <c r="D10" s="183" t="s">
        <v>99</v>
      </c>
      <c r="E10" s="621" t="s">
        <v>88</v>
      </c>
      <c r="F10" s="622">
        <v>0</v>
      </c>
    </row>
    <row r="11" spans="1:6" x14ac:dyDescent="0.25">
      <c r="A11" s="620" t="s">
        <v>0</v>
      </c>
      <c r="B11" s="623" t="s">
        <v>83</v>
      </c>
      <c r="C11" s="183" t="s">
        <v>84</v>
      </c>
      <c r="D11" s="183" t="s">
        <v>91</v>
      </c>
      <c r="E11" s="621" t="s">
        <v>72</v>
      </c>
      <c r="F11" s="622">
        <v>5436471.2699999996</v>
      </c>
    </row>
    <row r="12" spans="1:6" x14ac:dyDescent="0.25">
      <c r="A12" s="620" t="s">
        <v>0</v>
      </c>
      <c r="B12" s="623" t="s">
        <v>83</v>
      </c>
      <c r="C12" s="183" t="s">
        <v>84</v>
      </c>
      <c r="D12" s="183" t="s">
        <v>92</v>
      </c>
      <c r="E12" s="621" t="s">
        <v>73</v>
      </c>
      <c r="F12" s="622">
        <v>15660326.67</v>
      </c>
    </row>
    <row r="13" spans="1:6" x14ac:dyDescent="0.25">
      <c r="A13" s="620" t="s">
        <v>0</v>
      </c>
      <c r="B13" s="623" t="s">
        <v>83</v>
      </c>
      <c r="C13" s="183" t="s">
        <v>84</v>
      </c>
      <c r="D13" s="183" t="s">
        <v>93</v>
      </c>
      <c r="E13" s="621" t="s">
        <v>87</v>
      </c>
      <c r="F13" s="622">
        <v>3382423.6799999997</v>
      </c>
    </row>
    <row r="14" spans="1:6" x14ac:dyDescent="0.25">
      <c r="A14" s="620" t="s">
        <v>0</v>
      </c>
      <c r="B14" s="623" t="s">
        <v>83</v>
      </c>
      <c r="C14" s="183" t="s">
        <v>84</v>
      </c>
      <c r="D14" s="624" t="s">
        <v>91</v>
      </c>
      <c r="E14" s="621" t="s">
        <v>110</v>
      </c>
      <c r="F14" s="622">
        <v>6378300</v>
      </c>
    </row>
    <row r="15" spans="1:6" x14ac:dyDescent="0.25">
      <c r="A15" s="620" t="s">
        <v>0</v>
      </c>
      <c r="B15" s="623" t="s">
        <v>83</v>
      </c>
      <c r="C15" s="183" t="s">
        <v>84</v>
      </c>
      <c r="D15" s="183" t="s">
        <v>91</v>
      </c>
      <c r="E15" s="621" t="s">
        <v>88</v>
      </c>
      <c r="F15" s="622">
        <v>0</v>
      </c>
    </row>
    <row r="16" spans="1:6" x14ac:dyDescent="0.25">
      <c r="A16" s="620" t="s">
        <v>0</v>
      </c>
      <c r="B16" s="623" t="s">
        <v>83</v>
      </c>
      <c r="C16" s="183" t="s">
        <v>84</v>
      </c>
      <c r="D16" s="624" t="s">
        <v>94</v>
      </c>
      <c r="E16" s="621" t="s">
        <v>439</v>
      </c>
      <c r="F16" s="622">
        <v>21442272.456849314</v>
      </c>
    </row>
    <row r="17" spans="1:6" x14ac:dyDescent="0.25">
      <c r="A17" s="620" t="s">
        <v>0</v>
      </c>
      <c r="B17" s="183" t="s">
        <v>71</v>
      </c>
      <c r="C17" s="183" t="s">
        <v>84</v>
      </c>
      <c r="D17" s="183" t="s">
        <v>99</v>
      </c>
      <c r="E17" s="621" t="s">
        <v>439</v>
      </c>
      <c r="F17" s="622">
        <v>4031159</v>
      </c>
    </row>
    <row r="18" spans="1:6" x14ac:dyDescent="0.25">
      <c r="A18" s="620" t="s">
        <v>0</v>
      </c>
      <c r="B18" s="623" t="s">
        <v>83</v>
      </c>
      <c r="C18" s="183" t="s">
        <v>84</v>
      </c>
      <c r="D18" s="183" t="s">
        <v>92</v>
      </c>
      <c r="E18" s="621" t="s">
        <v>74</v>
      </c>
      <c r="F18" s="622">
        <v>265538.7</v>
      </c>
    </row>
    <row r="19" spans="1:6" x14ac:dyDescent="0.25">
      <c r="A19" s="620" t="s">
        <v>0</v>
      </c>
      <c r="B19" s="183" t="s">
        <v>71</v>
      </c>
      <c r="C19" s="625" t="s">
        <v>85</v>
      </c>
      <c r="D19" s="183" t="s">
        <v>99</v>
      </c>
      <c r="E19" s="621" t="s">
        <v>74</v>
      </c>
      <c r="F19" s="622">
        <v>3357000</v>
      </c>
    </row>
    <row r="20" spans="1:6" x14ac:dyDescent="0.25">
      <c r="A20" s="620" t="s">
        <v>0</v>
      </c>
      <c r="B20" s="623" t="s">
        <v>83</v>
      </c>
      <c r="C20" s="625" t="s">
        <v>85</v>
      </c>
      <c r="D20" s="624" t="s">
        <v>94</v>
      </c>
      <c r="E20" s="621" t="s">
        <v>439</v>
      </c>
      <c r="F20" s="622">
        <v>4635629</v>
      </c>
    </row>
    <row r="21" spans="1:6" x14ac:dyDescent="0.25">
      <c r="A21" s="620" t="s">
        <v>0</v>
      </c>
      <c r="B21" s="623" t="s">
        <v>83</v>
      </c>
      <c r="C21" s="625" t="s">
        <v>85</v>
      </c>
      <c r="D21" s="624" t="s">
        <v>94</v>
      </c>
      <c r="E21" s="621" t="s">
        <v>439</v>
      </c>
      <c r="F21" s="622">
        <v>2378663</v>
      </c>
    </row>
    <row r="22" spans="1:6" x14ac:dyDescent="0.25">
      <c r="A22" s="620" t="s">
        <v>0</v>
      </c>
      <c r="B22" s="623" t="s">
        <v>83</v>
      </c>
      <c r="C22" s="625" t="s">
        <v>85</v>
      </c>
      <c r="D22" s="183" t="s">
        <v>92</v>
      </c>
      <c r="E22" s="621" t="s">
        <v>74</v>
      </c>
      <c r="F22" s="622">
        <v>6468513.7799999993</v>
      </c>
    </row>
    <row r="23" spans="1:6" x14ac:dyDescent="0.25">
      <c r="A23" s="620" t="s">
        <v>0</v>
      </c>
      <c r="B23" s="183" t="s">
        <v>71</v>
      </c>
      <c r="C23" s="623" t="s">
        <v>86</v>
      </c>
      <c r="D23" s="183" t="s">
        <v>95</v>
      </c>
      <c r="E23" s="621" t="s">
        <v>74</v>
      </c>
      <c r="F23" s="622">
        <v>0</v>
      </c>
    </row>
    <row r="24" spans="1:6" x14ac:dyDescent="0.25">
      <c r="A24" s="620" t="s">
        <v>0</v>
      </c>
      <c r="B24" s="183" t="s">
        <v>71</v>
      </c>
      <c r="C24" s="623" t="s">
        <v>86</v>
      </c>
      <c r="D24" s="183" t="s">
        <v>95</v>
      </c>
      <c r="E24" s="621" t="s">
        <v>74</v>
      </c>
      <c r="F24" s="622">
        <v>0</v>
      </c>
    </row>
    <row r="25" spans="1:6" x14ac:dyDescent="0.25">
      <c r="A25" s="620" t="s">
        <v>0</v>
      </c>
      <c r="B25" s="623" t="s">
        <v>83</v>
      </c>
      <c r="C25" s="183" t="s">
        <v>84</v>
      </c>
      <c r="D25" s="183" t="s">
        <v>96</v>
      </c>
      <c r="E25" s="621" t="s">
        <v>139</v>
      </c>
      <c r="F25" s="622">
        <v>2950825</v>
      </c>
    </row>
    <row r="26" spans="1:6" x14ac:dyDescent="0.25">
      <c r="A26" s="620" t="s">
        <v>0</v>
      </c>
      <c r="B26" s="183" t="s">
        <v>71</v>
      </c>
      <c r="C26" s="183" t="s">
        <v>84</v>
      </c>
      <c r="D26" s="183" t="s">
        <v>99</v>
      </c>
      <c r="E26" s="621" t="s">
        <v>139</v>
      </c>
      <c r="F26" s="622">
        <v>2950825</v>
      </c>
    </row>
    <row r="27" spans="1:6" x14ac:dyDescent="0.25">
      <c r="A27" s="620" t="s">
        <v>0</v>
      </c>
      <c r="B27" s="183" t="s">
        <v>71</v>
      </c>
      <c r="C27" s="183" t="s">
        <v>84</v>
      </c>
      <c r="D27" s="183" t="s">
        <v>99</v>
      </c>
      <c r="E27" s="621" t="s">
        <v>75</v>
      </c>
      <c r="F27" s="622">
        <v>5749393</v>
      </c>
    </row>
    <row r="28" spans="1:6" x14ac:dyDescent="0.25">
      <c r="A28" s="620" t="s">
        <v>0</v>
      </c>
      <c r="B28" s="623" t="s">
        <v>83</v>
      </c>
      <c r="C28" s="183" t="s">
        <v>84</v>
      </c>
      <c r="D28" s="183" t="s">
        <v>96</v>
      </c>
      <c r="E28" s="621" t="s">
        <v>75</v>
      </c>
      <c r="F28" s="622">
        <v>5749393</v>
      </c>
    </row>
    <row r="29" spans="1:6" x14ac:dyDescent="0.25">
      <c r="A29" s="620" t="s">
        <v>48</v>
      </c>
      <c r="B29" s="183" t="s">
        <v>71</v>
      </c>
      <c r="C29" s="183" t="s">
        <v>84</v>
      </c>
      <c r="D29" s="183" t="s">
        <v>99</v>
      </c>
      <c r="E29" s="621" t="s">
        <v>72</v>
      </c>
      <c r="F29" s="622">
        <v>57643785.539999999</v>
      </c>
    </row>
    <row r="30" spans="1:6" x14ac:dyDescent="0.25">
      <c r="A30" s="620" t="s">
        <v>48</v>
      </c>
      <c r="B30" s="183" t="s">
        <v>71</v>
      </c>
      <c r="C30" s="183" t="s">
        <v>84</v>
      </c>
      <c r="D30" s="183" t="s">
        <v>99</v>
      </c>
      <c r="E30" s="621" t="s">
        <v>70</v>
      </c>
      <c r="F30" s="622">
        <v>0</v>
      </c>
    </row>
    <row r="31" spans="1:6" x14ac:dyDescent="0.25">
      <c r="A31" s="620" t="s">
        <v>48</v>
      </c>
      <c r="B31" s="623" t="s">
        <v>83</v>
      </c>
      <c r="C31" s="183" t="s">
        <v>84</v>
      </c>
      <c r="D31" s="183" t="s">
        <v>97</v>
      </c>
      <c r="E31" s="621" t="s">
        <v>70</v>
      </c>
      <c r="F31" s="622">
        <v>48558893.100000009</v>
      </c>
    </row>
    <row r="32" spans="1:6" x14ac:dyDescent="0.25">
      <c r="A32" s="620" t="s">
        <v>48</v>
      </c>
      <c r="B32" s="623" t="s">
        <v>83</v>
      </c>
      <c r="C32" s="183" t="s">
        <v>84</v>
      </c>
      <c r="D32" s="624" t="s">
        <v>94</v>
      </c>
      <c r="E32" s="621" t="s">
        <v>439</v>
      </c>
      <c r="F32" s="622">
        <v>3562672</v>
      </c>
    </row>
    <row r="33" spans="1:6" x14ac:dyDescent="0.25">
      <c r="A33" s="620" t="s">
        <v>48</v>
      </c>
      <c r="B33" s="623" t="s">
        <v>83</v>
      </c>
      <c r="C33" s="183" t="s">
        <v>84</v>
      </c>
      <c r="D33" s="624" t="s">
        <v>98</v>
      </c>
      <c r="E33" s="621" t="s">
        <v>440</v>
      </c>
      <c r="F33" s="622">
        <v>471871</v>
      </c>
    </row>
    <row r="34" spans="1:6" ht="15.75" thickBot="1" x14ac:dyDescent="0.3">
      <c r="A34" s="626" t="s">
        <v>48</v>
      </c>
      <c r="B34" s="253" t="s">
        <v>71</v>
      </c>
      <c r="C34" s="627" t="s">
        <v>85</v>
      </c>
      <c r="D34" s="253" t="s">
        <v>99</v>
      </c>
      <c r="E34" s="628" t="s">
        <v>70</v>
      </c>
      <c r="F34" s="629">
        <v>531334.7699999999</v>
      </c>
    </row>
  </sheetData>
  <sheetProtection password="9162" sheet="1" objects="1" scenarios="1" selectLockedCells="1"/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3">
    <tabColor rgb="FF00B050"/>
    <outlinePr summaryBelow="0" summaryRight="0"/>
  </sheetPr>
  <dimension ref="A1:Z58"/>
  <sheetViews>
    <sheetView zoomScaleNormal="100" workbookViewId="0">
      <selection activeCell="K18" sqref="K18"/>
    </sheetView>
  </sheetViews>
  <sheetFormatPr baseColWidth="10" defaultRowHeight="15" outlineLevelCol="1" x14ac:dyDescent="0.25"/>
  <cols>
    <col min="1" max="1" width="4.85546875" customWidth="1"/>
    <col min="2" max="2" width="35.140625" bestFit="1" customWidth="1"/>
    <col min="3" max="3" width="13.140625" customWidth="1"/>
    <col min="4" max="4" width="2.42578125" customWidth="1"/>
    <col min="5" max="5" width="27.5703125" customWidth="1" collapsed="1"/>
    <col min="6" max="6" width="11.42578125" hidden="1" customWidth="1" outlineLevel="1"/>
    <col min="9" max="9" width="11.42578125" style="283"/>
    <col min="10" max="10" width="12.7109375" customWidth="1"/>
    <col min="11" max="11" width="11.42578125" customWidth="1" collapsed="1"/>
    <col min="12" max="12" width="11.42578125" style="43" customWidth="1"/>
    <col min="14" max="14" width="10.42578125" customWidth="1"/>
    <col min="15" max="16" width="11.42578125" style="283" customWidth="1"/>
    <col min="17" max="17" width="11.42578125" customWidth="1"/>
    <col min="18" max="19" width="13.42578125" customWidth="1"/>
    <col min="20" max="20" width="13.85546875" customWidth="1"/>
    <col min="21" max="21" width="8.5703125" style="53" customWidth="1"/>
    <col min="22" max="24" width="11.5703125" style="53" customWidth="1"/>
    <col min="25" max="26" width="10.85546875" style="53"/>
  </cols>
  <sheetData>
    <row r="1" spans="1:25" ht="16.5" x14ac:dyDescent="0.3">
      <c r="A1" s="113"/>
      <c r="B1" s="113"/>
      <c r="C1" s="113"/>
      <c r="D1" s="113"/>
      <c r="E1" s="113"/>
      <c r="F1" s="113"/>
      <c r="G1" s="113"/>
      <c r="H1" s="113"/>
      <c r="I1" s="113"/>
      <c r="J1" s="113"/>
      <c r="K1" s="458"/>
      <c r="L1" s="114"/>
      <c r="M1" s="113"/>
      <c r="N1" s="113"/>
      <c r="O1" s="113"/>
      <c r="P1" s="113"/>
      <c r="Q1" s="113"/>
      <c r="R1" s="113"/>
      <c r="S1" s="113"/>
      <c r="T1" s="113"/>
    </row>
    <row r="2" spans="1:25" x14ac:dyDescent="0.25">
      <c r="B2" s="33" t="s">
        <v>160</v>
      </c>
      <c r="E2" s="33" t="s">
        <v>144</v>
      </c>
      <c r="G2" s="3"/>
      <c r="H2" s="3"/>
      <c r="I2" s="3"/>
      <c r="K2" s="459"/>
      <c r="M2" s="3"/>
      <c r="N2" s="3"/>
      <c r="O2" s="3"/>
      <c r="P2" s="3"/>
      <c r="Q2" s="3"/>
      <c r="S2" s="3"/>
      <c r="T2" s="3"/>
    </row>
    <row r="3" spans="1:25" ht="15.75" thickBot="1" x14ac:dyDescent="0.3">
      <c r="E3" s="3"/>
      <c r="F3" s="3"/>
      <c r="G3" s="3"/>
      <c r="H3" s="3"/>
      <c r="I3" s="3"/>
      <c r="J3" s="3"/>
      <c r="K3" s="3"/>
      <c r="L3" s="101"/>
      <c r="M3" s="3"/>
      <c r="N3" s="3"/>
      <c r="O3" s="3"/>
      <c r="P3" s="3"/>
      <c r="Q3" s="3"/>
      <c r="R3" s="3"/>
      <c r="S3" s="3"/>
    </row>
    <row r="4" spans="1:25" ht="19.5" thickBot="1" x14ac:dyDescent="0.35">
      <c r="B4" s="107" t="s">
        <v>59</v>
      </c>
      <c r="C4" s="2">
        <v>11.19</v>
      </c>
      <c r="E4" s="4" t="s">
        <v>0</v>
      </c>
      <c r="F4" s="5"/>
      <c r="G4" s="95"/>
      <c r="H4" s="6"/>
      <c r="I4" s="6"/>
      <c r="J4" s="6"/>
      <c r="K4" s="6"/>
      <c r="L4" s="102"/>
      <c r="M4" s="6"/>
      <c r="N4" s="1" t="s">
        <v>394</v>
      </c>
      <c r="O4" s="85"/>
      <c r="P4" s="85"/>
      <c r="Q4" s="77">
        <f>costs_GCA/1000</f>
        <v>141996.1</v>
      </c>
      <c r="R4" s="111"/>
      <c r="S4" s="111"/>
      <c r="T4" s="112"/>
    </row>
    <row r="5" spans="1:25" ht="17.25" thickBot="1" x14ac:dyDescent="0.35">
      <c r="B5" s="107" t="s">
        <v>58</v>
      </c>
      <c r="C5" s="32">
        <v>0.1</v>
      </c>
      <c r="E5" s="494"/>
      <c r="F5" s="492"/>
      <c r="G5" s="495"/>
      <c r="H5" s="493"/>
      <c r="I5" s="493"/>
      <c r="J5" s="492"/>
      <c r="K5" s="493"/>
      <c r="L5" s="496"/>
      <c r="M5" s="492"/>
      <c r="N5" s="492"/>
      <c r="O5" s="495"/>
      <c r="P5" s="495"/>
      <c r="Q5" s="492"/>
      <c r="R5" s="493"/>
      <c r="S5" s="492"/>
      <c r="T5" s="497"/>
    </row>
    <row r="6" spans="1:25" ht="17.25" thickBot="1" x14ac:dyDescent="0.35">
      <c r="B6" s="107" t="s">
        <v>135</v>
      </c>
      <c r="C6" s="32">
        <v>1</v>
      </c>
      <c r="E6" s="8"/>
      <c r="F6" s="7"/>
      <c r="G6" s="9" t="s">
        <v>151</v>
      </c>
      <c r="H6" s="9" t="s">
        <v>1</v>
      </c>
      <c r="I6" s="9" t="s">
        <v>381</v>
      </c>
      <c r="J6" s="9" t="s">
        <v>383</v>
      </c>
      <c r="K6" s="10" t="s">
        <v>229</v>
      </c>
      <c r="L6" s="11"/>
      <c r="M6" s="9" t="s">
        <v>154</v>
      </c>
      <c r="N6" s="9" t="s">
        <v>157</v>
      </c>
      <c r="O6" s="9"/>
      <c r="P6" s="9" t="s">
        <v>350</v>
      </c>
      <c r="Q6" s="9" t="s">
        <v>157</v>
      </c>
      <c r="R6" s="9" t="s">
        <v>407</v>
      </c>
      <c r="S6" s="9" t="s">
        <v>405</v>
      </c>
      <c r="T6" s="10" t="s">
        <v>153</v>
      </c>
      <c r="V6" s="478" t="s">
        <v>168</v>
      </c>
      <c r="W6" s="478"/>
      <c r="X6" s="478"/>
    </row>
    <row r="7" spans="1:25" ht="17.25" thickBot="1" x14ac:dyDescent="0.35">
      <c r="B7" s="107" t="s">
        <v>136</v>
      </c>
      <c r="C7" s="32">
        <v>0.5</v>
      </c>
      <c r="E7" s="16" t="s">
        <v>158</v>
      </c>
      <c r="F7" s="12" t="s">
        <v>2</v>
      </c>
      <c r="G7" s="13" t="s">
        <v>393</v>
      </c>
      <c r="H7" s="13" t="s">
        <v>230</v>
      </c>
      <c r="I7" s="13" t="s">
        <v>382</v>
      </c>
      <c r="J7" s="13" t="s">
        <v>382</v>
      </c>
      <c r="K7" s="15" t="s">
        <v>230</v>
      </c>
      <c r="L7" s="14" t="s">
        <v>353</v>
      </c>
      <c r="M7" s="13" t="s">
        <v>155</v>
      </c>
      <c r="N7" s="13" t="s">
        <v>354</v>
      </c>
      <c r="O7" s="13" t="s">
        <v>355</v>
      </c>
      <c r="P7" s="13" t="s">
        <v>351</v>
      </c>
      <c r="Q7" s="13" t="s">
        <v>356</v>
      </c>
      <c r="R7" s="109" t="s">
        <v>406</v>
      </c>
      <c r="S7" s="109" t="s">
        <v>406</v>
      </c>
      <c r="T7" s="15" t="s">
        <v>152</v>
      </c>
      <c r="V7" s="262" t="s">
        <v>173</v>
      </c>
      <c r="W7" s="262"/>
    </row>
    <row r="8" spans="1:25" ht="17.25" thickBot="1" x14ac:dyDescent="0.35">
      <c r="B8" s="107" t="s">
        <v>268</v>
      </c>
      <c r="C8" s="32">
        <v>0.1</v>
      </c>
      <c r="E8" s="16"/>
      <c r="F8" s="12"/>
      <c r="G8" s="97" t="s">
        <v>145</v>
      </c>
      <c r="H8" s="97" t="s">
        <v>145</v>
      </c>
      <c r="I8" s="97" t="s">
        <v>145</v>
      </c>
      <c r="J8" s="97"/>
      <c r="K8" s="99" t="s">
        <v>145</v>
      </c>
      <c r="L8" s="98" t="s">
        <v>145</v>
      </c>
      <c r="M8" s="97" t="s">
        <v>156</v>
      </c>
      <c r="N8" s="103" t="s">
        <v>143</v>
      </c>
      <c r="O8" s="97" t="s">
        <v>145</v>
      </c>
      <c r="P8" s="97" t="s">
        <v>156</v>
      </c>
      <c r="Q8" s="103" t="s">
        <v>143</v>
      </c>
      <c r="R8" s="110" t="s">
        <v>143</v>
      </c>
      <c r="S8" s="110" t="s">
        <v>143</v>
      </c>
      <c r="T8" s="99"/>
      <c r="V8" s="479" t="s">
        <v>417</v>
      </c>
      <c r="W8" s="479" t="s">
        <v>169</v>
      </c>
      <c r="X8" s="479" t="s">
        <v>167</v>
      </c>
    </row>
    <row r="9" spans="1:25" ht="17.25" thickBot="1" x14ac:dyDescent="0.35">
      <c r="A9" s="96"/>
      <c r="B9" s="107" t="s">
        <v>416</v>
      </c>
      <c r="C9" s="69">
        <f>(1+max_increase)*H18+0.99</f>
        <v>2.2220000000000004</v>
      </c>
      <c r="E9" s="16" t="s">
        <v>3</v>
      </c>
      <c r="F9" s="12" t="s">
        <v>4</v>
      </c>
      <c r="G9" s="537">
        <f>VTPB!AL10</f>
        <v>0.84700000000000009</v>
      </c>
      <c r="H9" s="461">
        <f>'Reference VO 2017'!E5</f>
        <v>0.77</v>
      </c>
      <c r="I9" s="94">
        <f t="shared" ref="I9:I32" si="0">G9-H9</f>
        <v>7.7000000000000068E-2</v>
      </c>
      <c r="J9" s="502">
        <f t="shared" ref="J9:J32" si="1">IFERROR(+G9/H9-1,"")</f>
        <v>0.10000000000000009</v>
      </c>
      <c r="K9" s="536">
        <f>'CWD Tariffs'!$Q$9</f>
        <v>2.2612212913395937</v>
      </c>
      <c r="L9" s="507">
        <f>VTPB!AO10</f>
        <v>0.60296641259379735</v>
      </c>
      <c r="M9" s="511">
        <f>'Reference VO 2017'!F5</f>
        <v>2165.1669999999999</v>
      </c>
      <c r="N9" s="511">
        <f t="shared" ref="N9:N32" si="2">L9*M9*GCV</f>
        <v>14608.802131165947</v>
      </c>
      <c r="O9" s="567">
        <f t="shared" ref="O9:O32" si="3">G9-L9</f>
        <v>0.24403358740620273</v>
      </c>
      <c r="P9" s="511">
        <f>Forecasts!F5/GCV/1000</f>
        <v>2165.1669999999999</v>
      </c>
      <c r="Q9" s="511">
        <f t="shared" ref="Q9:Q32" si="4">P9*O9*GCV</f>
        <v>5912.4991331440524</v>
      </c>
      <c r="R9" s="511">
        <f t="shared" ref="R9:R32" si="5">IFERROR(N9+Q9,0)</f>
        <v>20521.301264310001</v>
      </c>
      <c r="S9" s="511">
        <f t="shared" ref="S9:S32" si="6">H9*M9*GCV</f>
        <v>18655.728422099997</v>
      </c>
      <c r="T9" s="498">
        <f>IFERROR(+R9/S9-1,"")</f>
        <v>0.10000000000000031</v>
      </c>
      <c r="U9" s="529" t="s">
        <v>71</v>
      </c>
      <c r="V9" s="530">
        <f>+$M$48*G46*GCV</f>
        <v>41129.382455700004</v>
      </c>
      <c r="W9" s="530">
        <f>M48*H46*GCV</f>
        <v>37390.347687000009</v>
      </c>
      <c r="X9" s="530">
        <f>V9-W9</f>
        <v>3739.0347686999958</v>
      </c>
      <c r="Y9" s="53" t="s">
        <v>171</v>
      </c>
    </row>
    <row r="10" spans="1:25" ht="15.75" x14ac:dyDescent="0.3">
      <c r="A10" s="96"/>
      <c r="E10" s="16" t="s">
        <v>5</v>
      </c>
      <c r="F10" s="12" t="s">
        <v>6</v>
      </c>
      <c r="G10" s="537">
        <f>VTPB!AL11</f>
        <v>1.4300000000000002</v>
      </c>
      <c r="H10" s="461">
        <f>'Reference VO 2017'!E6</f>
        <v>1.3</v>
      </c>
      <c r="I10" s="94">
        <f t="shared" si="0"/>
        <v>0.13000000000000012</v>
      </c>
      <c r="J10" s="463">
        <f t="shared" si="1"/>
        <v>0.10000000000000009</v>
      </c>
      <c r="K10" s="505">
        <f>'CWD Tariffs'!$Q$9</f>
        <v>2.2612212913395937</v>
      </c>
      <c r="L10" s="507">
        <f>VTPB!AO11</f>
        <v>1.1859664125937974</v>
      </c>
      <c r="M10" s="511">
        <f>'Reference VO 2017'!F6</f>
        <v>862.4670000000001</v>
      </c>
      <c r="N10" s="511">
        <f t="shared" si="2"/>
        <v>11445.768643530284</v>
      </c>
      <c r="O10" s="567">
        <f t="shared" si="3"/>
        <v>0.24403358740620273</v>
      </c>
      <c r="P10" s="511">
        <f>Forecasts!F6/GCV/1000</f>
        <v>862.4670000000001</v>
      </c>
      <c r="Q10" s="511">
        <f t="shared" si="4"/>
        <v>2355.1695503697188</v>
      </c>
      <c r="R10" s="511">
        <f t="shared" si="5"/>
        <v>13800.938193900003</v>
      </c>
      <c r="S10" s="511">
        <f t="shared" si="6"/>
        <v>12546.307449</v>
      </c>
      <c r="T10" s="498">
        <f t="shared" ref="T10:T32" si="7">IFERROR(+R10/S10-1,"")</f>
        <v>0.10000000000000031</v>
      </c>
      <c r="U10" s="529" t="s">
        <v>83</v>
      </c>
      <c r="V10" s="530">
        <f>R48</f>
        <v>247310.44255830004</v>
      </c>
      <c r="W10" s="530">
        <f>S48</f>
        <v>224827.67505300004</v>
      </c>
      <c r="X10" s="530">
        <f>V10-W10</f>
        <v>22482.767505299998</v>
      </c>
    </row>
    <row r="11" spans="1:25" ht="16.5" thickBot="1" x14ac:dyDescent="0.35">
      <c r="A11" s="96"/>
      <c r="B11" s="33" t="s">
        <v>159</v>
      </c>
      <c r="E11" s="16" t="s">
        <v>7</v>
      </c>
      <c r="F11" s="12" t="s">
        <v>8</v>
      </c>
      <c r="G11" s="537">
        <f>VTPB!AL12</f>
        <v>1.4300000000000002</v>
      </c>
      <c r="H11" s="461">
        <f>'Reference VO 2017'!E7</f>
        <v>1.3</v>
      </c>
      <c r="I11" s="94">
        <f t="shared" si="0"/>
        <v>0.13000000000000012</v>
      </c>
      <c r="J11" s="463">
        <f t="shared" si="1"/>
        <v>0.10000000000000009</v>
      </c>
      <c r="K11" s="505">
        <f>'CWD Tariffs'!$Q$9</f>
        <v>2.2612212913395937</v>
      </c>
      <c r="L11" s="507">
        <f>VTPB!AO12</f>
        <v>1.1859664125937974</v>
      </c>
      <c r="M11" s="511">
        <f>'Reference VO 2017'!F7</f>
        <v>124.5</v>
      </c>
      <c r="N11" s="511">
        <f t="shared" si="2"/>
        <v>1652.2350375371118</v>
      </c>
      <c r="O11" s="567">
        <f t="shared" si="3"/>
        <v>0.24403358740620273</v>
      </c>
      <c r="P11" s="511">
        <f>Forecasts!F7/GCV/1000</f>
        <v>124.5</v>
      </c>
      <c r="Q11" s="511">
        <f t="shared" si="4"/>
        <v>339.97661246288834</v>
      </c>
      <c r="R11" s="511">
        <f t="shared" si="5"/>
        <v>1992.2116500000002</v>
      </c>
      <c r="S11" s="511">
        <f t="shared" si="6"/>
        <v>1811.1014999999998</v>
      </c>
      <c r="T11" s="498">
        <f t="shared" si="7"/>
        <v>0.10000000000000031</v>
      </c>
      <c r="U11" s="529" t="s">
        <v>142</v>
      </c>
      <c r="V11" s="531">
        <f>V9+V10</f>
        <v>288439.82501400006</v>
      </c>
      <c r="W11" s="531">
        <f>W9+W10</f>
        <v>262218.02274000004</v>
      </c>
      <c r="X11" s="532">
        <f>V11/W11-1</f>
        <v>0.10000000000000009</v>
      </c>
      <c r="Y11" s="533"/>
    </row>
    <row r="12" spans="1:25" ht="17.25" thickBot="1" x14ac:dyDescent="0.35">
      <c r="B12" s="91" t="s">
        <v>273</v>
      </c>
      <c r="C12" s="371">
        <f>VTPB!T65</f>
        <v>0.19772944597036973</v>
      </c>
      <c r="E12" s="16" t="s">
        <v>9</v>
      </c>
      <c r="F12" s="12" t="s">
        <v>10</v>
      </c>
      <c r="G12" s="537">
        <f>VTPB!AL15</f>
        <v>0.84700000000000009</v>
      </c>
      <c r="H12" s="461">
        <f>'Reference VO 2017'!E8</f>
        <v>0.77</v>
      </c>
      <c r="I12" s="94">
        <f t="shared" si="0"/>
        <v>7.7000000000000068E-2</v>
      </c>
      <c r="J12" s="463">
        <f t="shared" si="1"/>
        <v>0.10000000000000009</v>
      </c>
      <c r="K12" s="505">
        <f>'CWD Tariffs'!$Q$9</f>
        <v>2.2612212913395937</v>
      </c>
      <c r="L12" s="507">
        <f>VTPB!AO15</f>
        <v>0.60296641259379735</v>
      </c>
      <c r="M12" s="511">
        <f>'Reference VO 2017'!F8</f>
        <v>0</v>
      </c>
      <c r="N12" s="511">
        <f t="shared" si="2"/>
        <v>0</v>
      </c>
      <c r="O12" s="567">
        <f t="shared" si="3"/>
        <v>0.24403358740620273</v>
      </c>
      <c r="P12" s="511">
        <f>Forecasts!F8/GCV/1000</f>
        <v>0</v>
      </c>
      <c r="Q12" s="511">
        <f t="shared" si="4"/>
        <v>0</v>
      </c>
      <c r="R12" s="511">
        <f t="shared" si="5"/>
        <v>0</v>
      </c>
      <c r="S12" s="511">
        <f t="shared" si="6"/>
        <v>0</v>
      </c>
      <c r="T12" s="498" t="str">
        <f t="shared" ref="T12:T26" si="8">IFERROR(+R12/S12-1,"n.a.")</f>
        <v>n.a.</v>
      </c>
    </row>
    <row r="13" spans="1:25" ht="17.25" thickBot="1" x14ac:dyDescent="0.35">
      <c r="A13" s="283"/>
      <c r="B13" s="91" t="s">
        <v>148</v>
      </c>
      <c r="C13" s="106">
        <f>costs_GCA+costs_TAG</f>
        <v>454265000</v>
      </c>
      <c r="D13" s="283"/>
      <c r="E13" s="16" t="s">
        <v>11</v>
      </c>
      <c r="F13" s="12" t="s">
        <v>12</v>
      </c>
      <c r="G13" s="537">
        <f>VTPB!AL16</f>
        <v>1.2100000000000002</v>
      </c>
      <c r="H13" s="461">
        <f>'Reference VO 2017'!E9</f>
        <v>1.1000000000000001</v>
      </c>
      <c r="I13" s="94">
        <f t="shared" si="0"/>
        <v>0.1100000000000001</v>
      </c>
      <c r="J13" s="463">
        <f t="shared" si="1"/>
        <v>0.10000000000000009</v>
      </c>
      <c r="K13" s="505">
        <f>'CWD Tariffs'!$Q$9</f>
        <v>2.2612212913395937</v>
      </c>
      <c r="L13" s="507">
        <f>VTPB!AO16</f>
        <v>0.96596641259379745</v>
      </c>
      <c r="M13" s="511">
        <f>'Reference VO 2017'!F9</f>
        <v>0</v>
      </c>
      <c r="N13" s="511">
        <f t="shared" si="2"/>
        <v>0</v>
      </c>
      <c r="O13" s="567">
        <f t="shared" si="3"/>
        <v>0.24403358740620273</v>
      </c>
      <c r="P13" s="511">
        <f>Forecasts!F9/GCV/1000</f>
        <v>0</v>
      </c>
      <c r="Q13" s="511">
        <f t="shared" si="4"/>
        <v>0</v>
      </c>
      <c r="R13" s="511">
        <f t="shared" si="5"/>
        <v>0</v>
      </c>
      <c r="S13" s="511">
        <f t="shared" si="6"/>
        <v>0</v>
      </c>
      <c r="T13" s="498" t="str">
        <f t="shared" si="8"/>
        <v>n.a.</v>
      </c>
      <c r="V13" s="262" t="s">
        <v>174</v>
      </c>
      <c r="W13" s="262"/>
    </row>
    <row r="14" spans="1:25" ht="17.25" thickBot="1" x14ac:dyDescent="0.35">
      <c r="B14" s="92" t="s">
        <v>395</v>
      </c>
      <c r="C14" s="106">
        <f>Costscalc!C3</f>
        <v>141996100</v>
      </c>
      <c r="E14" s="16" t="s">
        <v>13</v>
      </c>
      <c r="F14" s="12" t="s">
        <v>14</v>
      </c>
      <c r="G14" s="537">
        <f>VTPB!AL17</f>
        <v>0.84700000000000009</v>
      </c>
      <c r="H14" s="461">
        <f>'Reference VO 2017'!E10</f>
        <v>0.77</v>
      </c>
      <c r="I14" s="94">
        <f t="shared" si="0"/>
        <v>7.7000000000000068E-2</v>
      </c>
      <c r="J14" s="463">
        <f t="shared" si="1"/>
        <v>0.10000000000000009</v>
      </c>
      <c r="K14" s="505">
        <f>'CWD Tariffs'!$Q$9</f>
        <v>2.2612212913395937</v>
      </c>
      <c r="L14" s="507">
        <f>VTPB!AO17</f>
        <v>0.60296641259379735</v>
      </c>
      <c r="M14" s="511">
        <f>'Reference VO 2017'!F10</f>
        <v>0</v>
      </c>
      <c r="N14" s="511">
        <f t="shared" si="2"/>
        <v>0</v>
      </c>
      <c r="O14" s="567">
        <f t="shared" si="3"/>
        <v>0.24403358740620273</v>
      </c>
      <c r="P14" s="511">
        <f>Forecasts!F10/GCV/1000</f>
        <v>0</v>
      </c>
      <c r="Q14" s="511">
        <f t="shared" si="4"/>
        <v>0</v>
      </c>
      <c r="R14" s="511">
        <f t="shared" si="5"/>
        <v>0</v>
      </c>
      <c r="S14" s="511">
        <f t="shared" si="6"/>
        <v>0</v>
      </c>
      <c r="T14" s="498" t="str">
        <f t="shared" si="8"/>
        <v>n.a.</v>
      </c>
      <c r="V14" s="479" t="s">
        <v>417</v>
      </c>
      <c r="W14" s="479" t="s">
        <v>169</v>
      </c>
      <c r="X14" s="479" t="s">
        <v>167</v>
      </c>
    </row>
    <row r="15" spans="1:25" ht="17.25" thickBot="1" x14ac:dyDescent="0.35">
      <c r="B15" s="100" t="s">
        <v>371</v>
      </c>
      <c r="C15" s="106">
        <f>Costscalc!C4</f>
        <v>10636400</v>
      </c>
      <c r="E15" s="16" t="s">
        <v>15</v>
      </c>
      <c r="F15" s="12" t="s">
        <v>16</v>
      </c>
      <c r="G15" s="537">
        <f>VTPB!AL33</f>
        <v>1.2355788651288975</v>
      </c>
      <c r="H15" s="461">
        <f>'Reference VO 2017'!E11</f>
        <v>1.1200000000000001</v>
      </c>
      <c r="I15" s="94">
        <f t="shared" si="0"/>
        <v>0.11557886512889737</v>
      </c>
      <c r="J15" s="463">
        <f t="shared" si="1"/>
        <v>0.10319541529365828</v>
      </c>
      <c r="K15" s="505">
        <f>'CWD Tariffs'!Q22</f>
        <v>0.52456860735718447</v>
      </c>
      <c r="L15" s="507">
        <f>VTPB!AO33</f>
        <v>1.1659774721521035</v>
      </c>
      <c r="M15" s="511">
        <f>'Reference VO 2017'!F11</f>
        <v>485.83300000000003</v>
      </c>
      <c r="N15" s="511">
        <f t="shared" si="2"/>
        <v>6338.8030288221362</v>
      </c>
      <c r="O15" s="567">
        <f t="shared" si="3"/>
        <v>6.9601392976794019E-2</v>
      </c>
      <c r="P15" s="511">
        <f>Forecasts!F11/GCV/1000</f>
        <v>485.83300000000003</v>
      </c>
      <c r="Q15" s="511">
        <f t="shared" si="4"/>
        <v>378.38597327032045</v>
      </c>
      <c r="R15" s="511">
        <f t="shared" si="5"/>
        <v>6717.1890020924566</v>
      </c>
      <c r="S15" s="511">
        <f t="shared" si="6"/>
        <v>6088.8478224</v>
      </c>
      <c r="T15" s="498">
        <f t="shared" si="8"/>
        <v>0.1031954152936585</v>
      </c>
      <c r="U15" s="529" t="s">
        <v>71</v>
      </c>
      <c r="V15" s="530">
        <f>M16*G9*GCV</f>
        <v>13264.296689490002</v>
      </c>
      <c r="W15" s="530">
        <f>M16*H9*GCV</f>
        <v>12058.4515359</v>
      </c>
      <c r="X15" s="530">
        <f>V15-W15</f>
        <v>1205.8451535900022</v>
      </c>
      <c r="Y15" s="53" t="s">
        <v>172</v>
      </c>
    </row>
    <row r="16" spans="1:25" ht="17.25" thickBot="1" x14ac:dyDescent="0.35">
      <c r="A16" s="96"/>
      <c r="B16" s="92" t="s">
        <v>396</v>
      </c>
      <c r="C16" s="106">
        <f>Costscalc!C7</f>
        <v>312268900</v>
      </c>
      <c r="E16" s="16" t="s">
        <v>17</v>
      </c>
      <c r="F16" s="12" t="s">
        <v>18</v>
      </c>
      <c r="G16" s="537">
        <f>VTPB!AL36</f>
        <v>3.32489101812113</v>
      </c>
      <c r="H16" s="461">
        <f>'Reference VO 2017'!E12</f>
        <v>3.44</v>
      </c>
      <c r="I16" s="94">
        <f t="shared" si="0"/>
        <v>-0.11510898187886998</v>
      </c>
      <c r="J16" s="463">
        <f t="shared" si="1"/>
        <v>-3.3461913336880755E-2</v>
      </c>
      <c r="K16" s="505">
        <f>'CWD Tariffs'!Q23</f>
        <v>1.7370981416419853</v>
      </c>
      <c r="L16" s="507">
        <f>VTPB!AO36</f>
        <v>3.2051794959293045</v>
      </c>
      <c r="M16" s="511">
        <f>'Reference VO 2017'!F12</f>
        <v>1399.4929999999999</v>
      </c>
      <c r="N16" s="511">
        <f t="shared" si="2"/>
        <v>50194.157942238839</v>
      </c>
      <c r="O16" s="567">
        <f t="shared" si="3"/>
        <v>0.11971152219182546</v>
      </c>
      <c r="P16" s="511">
        <f>Forecasts!F12/GCV/1000</f>
        <v>1399.4929999999999</v>
      </c>
      <c r="Q16" s="511">
        <f t="shared" si="4"/>
        <v>1874.721543686941</v>
      </c>
      <c r="R16" s="511">
        <f t="shared" si="5"/>
        <v>52068.879485925776</v>
      </c>
      <c r="S16" s="511">
        <f t="shared" si="6"/>
        <v>53871.52374479999</v>
      </c>
      <c r="T16" s="498">
        <f t="shared" si="8"/>
        <v>-3.3461913336880755E-2</v>
      </c>
      <c r="U16" s="529" t="s">
        <v>83</v>
      </c>
      <c r="V16" s="530">
        <f>R16</f>
        <v>52068.879485925776</v>
      </c>
      <c r="W16" s="530">
        <f>S16</f>
        <v>53871.52374479999</v>
      </c>
      <c r="X16" s="530">
        <f>V16-W16</f>
        <v>-1802.6442588742138</v>
      </c>
    </row>
    <row r="17" spans="1:25" ht="17.25" thickBot="1" x14ac:dyDescent="0.35">
      <c r="B17" s="100" t="s">
        <v>374</v>
      </c>
      <c r="C17" s="106">
        <f>Costscalc!C8</f>
        <v>97065300</v>
      </c>
      <c r="E17" s="16" t="s">
        <v>19</v>
      </c>
      <c r="F17" s="12" t="s">
        <v>20</v>
      </c>
      <c r="G17" s="537">
        <f>VTPB!AL35</f>
        <v>2.2284547388931903</v>
      </c>
      <c r="H17" s="461">
        <f>'Reference VO 2017'!E13</f>
        <v>3.33</v>
      </c>
      <c r="I17" s="94">
        <f t="shared" si="0"/>
        <v>-1.1015452611068097</v>
      </c>
      <c r="J17" s="463">
        <f t="shared" si="1"/>
        <v>-0.33079437270474765</v>
      </c>
      <c r="K17" s="505">
        <f>'CWD Tariffs'!Q25</f>
        <v>2.0747349481932349</v>
      </c>
      <c r="L17" s="507">
        <f>VTPB!AO35</f>
        <v>1.2757442654777145</v>
      </c>
      <c r="M17" s="511">
        <f>'Reference VO 2017'!F13</f>
        <v>302.27199999999999</v>
      </c>
      <c r="N17" s="511">
        <f t="shared" si="2"/>
        <v>4315.1076131760274</v>
      </c>
      <c r="O17" s="567">
        <f t="shared" si="3"/>
        <v>0.95271047341547588</v>
      </c>
      <c r="P17" s="511">
        <f>Forecasts!F13/GCV/1000</f>
        <v>302.27199999999999</v>
      </c>
      <c r="Q17" s="511">
        <f t="shared" si="4"/>
        <v>3222.4704654645157</v>
      </c>
      <c r="R17" s="511">
        <f t="shared" si="5"/>
        <v>7537.578078640543</v>
      </c>
      <c r="S17" s="511">
        <f t="shared" si="6"/>
        <v>11263.470854399999</v>
      </c>
      <c r="T17" s="498">
        <f t="shared" si="8"/>
        <v>-0.33079437270474765</v>
      </c>
      <c r="U17" s="529" t="s">
        <v>142</v>
      </c>
      <c r="V17" s="531">
        <f>V15+V16</f>
        <v>65333.176175415778</v>
      </c>
      <c r="W17" s="531">
        <f>W15+W16</f>
        <v>65929.97528069999</v>
      </c>
      <c r="X17" s="532">
        <f>V17/W17-1</f>
        <v>-9.0520146980688221E-3</v>
      </c>
      <c r="Y17" s="533"/>
    </row>
    <row r="18" spans="1:25" ht="17.25" thickBot="1" x14ac:dyDescent="0.35">
      <c r="B18" s="91" t="s">
        <v>270</v>
      </c>
      <c r="C18" s="106">
        <f>-T38*1000</f>
        <v>11695409.917718731</v>
      </c>
      <c r="E18" s="16" t="s">
        <v>21</v>
      </c>
      <c r="F18" s="12" t="s">
        <v>22</v>
      </c>
      <c r="G18" s="537">
        <f>VTPB!AL34</f>
        <v>1.2355788651288975</v>
      </c>
      <c r="H18" s="461">
        <f>'Reference VO 2017'!E14</f>
        <v>1.1200000000000001</v>
      </c>
      <c r="I18" s="94">
        <f t="shared" si="0"/>
        <v>0.11557886512889737</v>
      </c>
      <c r="J18" s="463">
        <f t="shared" si="1"/>
        <v>0.10319541529365828</v>
      </c>
      <c r="K18" s="505">
        <f>'CWD Tariffs'!$Q$22</f>
        <v>0.52456860735718447</v>
      </c>
      <c r="L18" s="507">
        <f>VTPB!AO34</f>
        <v>1.1659774721521035</v>
      </c>
      <c r="M18" s="511">
        <f>'Reference VO 2017'!F14</f>
        <v>570</v>
      </c>
      <c r="N18" s="511">
        <f t="shared" si="2"/>
        <v>7436.9541106277611</v>
      </c>
      <c r="O18" s="567">
        <f t="shared" si="3"/>
        <v>6.9601392976794019E-2</v>
      </c>
      <c r="P18" s="511">
        <f>Forecasts!F14/GCV/1000</f>
        <v>570</v>
      </c>
      <c r="Q18" s="511">
        <f t="shared" si="4"/>
        <v>443.93856482388526</v>
      </c>
      <c r="R18" s="511">
        <f t="shared" si="5"/>
        <v>7880.892675451646</v>
      </c>
      <c r="S18" s="511">
        <f t="shared" si="6"/>
        <v>7143.6960000000008</v>
      </c>
      <c r="T18" s="498">
        <f t="shared" si="8"/>
        <v>0.10319541529365828</v>
      </c>
    </row>
    <row r="19" spans="1:25" ht="17.25" thickBot="1" x14ac:dyDescent="0.35">
      <c r="B19" s="1" t="s">
        <v>196</v>
      </c>
      <c r="C19" s="150">
        <f>CAA!L33</f>
        <v>9.952092817139474E-2</v>
      </c>
      <c r="E19" s="16" t="s">
        <v>23</v>
      </c>
      <c r="F19" s="12" t="s">
        <v>24</v>
      </c>
      <c r="G19" s="537">
        <f>VTPB!AL37</f>
        <v>1.2355788651288975</v>
      </c>
      <c r="H19" s="461">
        <f>'Reference VO 2017'!E15</f>
        <v>1.1200000000000001</v>
      </c>
      <c r="I19" s="94">
        <f t="shared" si="0"/>
        <v>0.11557886512889737</v>
      </c>
      <c r="J19" s="463">
        <f t="shared" si="1"/>
        <v>0.10319541529365828</v>
      </c>
      <c r="K19" s="505">
        <f>'CWD Tariffs'!$Q$22</f>
        <v>0.52456860735718447</v>
      </c>
      <c r="L19" s="507">
        <f>VTPB!AO37</f>
        <v>1.1659774721521035</v>
      </c>
      <c r="M19" s="511">
        <f>'Reference VO 2017'!F15</f>
        <v>0</v>
      </c>
      <c r="N19" s="511">
        <f t="shared" si="2"/>
        <v>0</v>
      </c>
      <c r="O19" s="567">
        <f t="shared" si="3"/>
        <v>6.9601392976794019E-2</v>
      </c>
      <c r="P19" s="511">
        <f>Forecasts!F15/GCV/1000</f>
        <v>0</v>
      </c>
      <c r="Q19" s="511">
        <f t="shared" si="4"/>
        <v>0</v>
      </c>
      <c r="R19" s="511">
        <f t="shared" si="5"/>
        <v>0</v>
      </c>
      <c r="S19" s="511">
        <f t="shared" si="6"/>
        <v>0</v>
      </c>
      <c r="T19" s="498" t="str">
        <f t="shared" si="8"/>
        <v>n.a.</v>
      </c>
      <c r="V19" s="262" t="s">
        <v>170</v>
      </c>
      <c r="W19" s="262"/>
    </row>
    <row r="20" spans="1:25" ht="17.25" thickBot="1" x14ac:dyDescent="0.35">
      <c r="B20" s="1" t="s">
        <v>415</v>
      </c>
      <c r="C20" s="150">
        <f>SUM(CAA!F23,CAA!F25)/SUM(CAA!F23:F26)</f>
        <v>6.8004578721324996E-2</v>
      </c>
      <c r="E20" s="16" t="s">
        <v>25</v>
      </c>
      <c r="F20" s="12" t="s">
        <v>26</v>
      </c>
      <c r="G20" s="537">
        <f>VTPB!AL57</f>
        <v>0.53228218552289408</v>
      </c>
      <c r="H20" s="461">
        <f>'Reference VO 2017'!E16</f>
        <v>0.53</v>
      </c>
      <c r="I20" s="94">
        <f t="shared" si="0"/>
        <v>2.2821855228940535E-3</v>
      </c>
      <c r="J20" s="463">
        <f t="shared" si="1"/>
        <v>4.3060104205547844E-3</v>
      </c>
      <c r="K20" s="505">
        <f>'CWD Tariffs'!Q28</f>
        <v>0.58374906275947602</v>
      </c>
      <c r="L20" s="507">
        <f>VTPB!AO57</f>
        <v>0.45166245960964774</v>
      </c>
      <c r="M20" s="511">
        <f>'Reference VO 2017'!F16</f>
        <v>1916.1995046335403</v>
      </c>
      <c r="N20" s="511">
        <f t="shared" si="2"/>
        <v>9684.6695174807664</v>
      </c>
      <c r="O20" s="567">
        <f t="shared" si="3"/>
        <v>8.0619725913246343E-2</v>
      </c>
      <c r="P20" s="511">
        <f>Forecasts!F16/GCV/1000</f>
        <v>1916.1995046335403</v>
      </c>
      <c r="Q20" s="511">
        <f t="shared" si="4"/>
        <v>1728.6701284283429</v>
      </c>
      <c r="R20" s="511">
        <f t="shared" si="5"/>
        <v>11413.339645909109</v>
      </c>
      <c r="S20" s="511">
        <f t="shared" si="6"/>
        <v>11364.404402130138</v>
      </c>
      <c r="T20" s="498">
        <f t="shared" si="8"/>
        <v>4.3060104205547844E-3</v>
      </c>
      <c r="V20" s="479" t="s">
        <v>417</v>
      </c>
      <c r="W20" s="479" t="s">
        <v>169</v>
      </c>
      <c r="X20" s="479" t="s">
        <v>167</v>
      </c>
    </row>
    <row r="21" spans="1:25" ht="15.75" x14ac:dyDescent="0.3">
      <c r="B21" s="53"/>
      <c r="C21" s="53"/>
      <c r="E21" s="16" t="s">
        <v>27</v>
      </c>
      <c r="F21" s="12"/>
      <c r="G21" s="537">
        <f>VTPB!AL18</f>
        <v>0</v>
      </c>
      <c r="H21" s="461">
        <f>'Reference VO 2017'!E17</f>
        <v>0</v>
      </c>
      <c r="I21" s="94">
        <f t="shared" si="0"/>
        <v>0</v>
      </c>
      <c r="J21" s="463" t="str">
        <f t="shared" si="1"/>
        <v/>
      </c>
      <c r="K21" s="505">
        <f>'CWD Tariffs'!$Q$9</f>
        <v>2.2612212913395937</v>
      </c>
      <c r="L21" s="507">
        <f>VTPB!AO18</f>
        <v>0</v>
      </c>
      <c r="M21" s="511">
        <f>'Reference VO 2017'!F17</f>
        <v>360.24655942806078</v>
      </c>
      <c r="N21" s="511">
        <f t="shared" si="2"/>
        <v>0</v>
      </c>
      <c r="O21" s="567">
        <f t="shared" si="3"/>
        <v>0</v>
      </c>
      <c r="P21" s="511">
        <f>Forecasts!F17/GCV/1000</f>
        <v>360.24655942806078</v>
      </c>
      <c r="Q21" s="511">
        <f t="shared" si="4"/>
        <v>0</v>
      </c>
      <c r="R21" s="511">
        <f t="shared" si="5"/>
        <v>0</v>
      </c>
      <c r="S21" s="511">
        <f t="shared" si="6"/>
        <v>0</v>
      </c>
      <c r="T21" s="498" t="str">
        <f t="shared" si="8"/>
        <v>n.a.</v>
      </c>
      <c r="U21" s="490" t="s">
        <v>277</v>
      </c>
      <c r="V21" s="530">
        <f>R20+R24+R25</f>
        <v>14773.564053999286</v>
      </c>
      <c r="W21" s="530">
        <f>S20+S24+S25</f>
        <v>14731.264562130138</v>
      </c>
      <c r="X21" s="530">
        <f>V21-W21</f>
        <v>42.29949186914746</v>
      </c>
    </row>
    <row r="22" spans="1:25" ht="15.75" x14ac:dyDescent="0.3">
      <c r="B22" s="53"/>
      <c r="C22" s="53"/>
      <c r="E22" s="16" t="s">
        <v>28</v>
      </c>
      <c r="F22" s="12" t="s">
        <v>29</v>
      </c>
      <c r="G22" s="537">
        <f>VTPB!AL38</f>
        <v>3.32489101812113</v>
      </c>
      <c r="H22" s="461">
        <f>'Reference VO 2017'!E18</f>
        <v>3.44</v>
      </c>
      <c r="I22" s="94">
        <f t="shared" si="0"/>
        <v>-0.11510898187886998</v>
      </c>
      <c r="J22" s="463">
        <f t="shared" si="1"/>
        <v>-3.3461913336880755E-2</v>
      </c>
      <c r="K22" s="505">
        <f>'CWD Tariffs'!Q23</f>
        <v>1.7370981416419853</v>
      </c>
      <c r="L22" s="507">
        <f>VTPB!AO38</f>
        <v>3.2051794959293045</v>
      </c>
      <c r="M22" s="511">
        <f>'Reference VO 2017'!F18</f>
        <v>23.730000000000004</v>
      </c>
      <c r="N22" s="511">
        <f t="shared" si="2"/>
        <v>851.09919661572292</v>
      </c>
      <c r="O22" s="567">
        <f t="shared" si="3"/>
        <v>0.11971152219182546</v>
      </c>
      <c r="P22" s="511">
        <f>Forecasts!F18/GCV/1000</f>
        <v>23.730000000000004</v>
      </c>
      <c r="Q22" s="511">
        <f t="shared" si="4"/>
        <v>31.788041977838486</v>
      </c>
      <c r="R22" s="511">
        <f t="shared" si="5"/>
        <v>882.88723859356139</v>
      </c>
      <c r="S22" s="511">
        <f t="shared" si="6"/>
        <v>913.45312799999999</v>
      </c>
      <c r="T22" s="498">
        <f t="shared" si="8"/>
        <v>-3.3461913336880755E-2</v>
      </c>
      <c r="U22" s="490" t="s">
        <v>278</v>
      </c>
      <c r="V22" s="530">
        <f>R50+R49</f>
        <v>4076.3908584612204</v>
      </c>
      <c r="W22" s="530">
        <f>S50+S49</f>
        <v>3870.0743600000005</v>
      </c>
      <c r="X22" s="530">
        <f>V22-W22</f>
        <v>206.31649846121991</v>
      </c>
    </row>
    <row r="23" spans="1:25" ht="15.75" x14ac:dyDescent="0.3">
      <c r="A23" s="283"/>
      <c r="B23" s="53"/>
      <c r="C23" s="53"/>
      <c r="E23" s="16" t="s">
        <v>30</v>
      </c>
      <c r="F23" s="12" t="s">
        <v>31</v>
      </c>
      <c r="G23" s="537">
        <f>VTPB!AM12</f>
        <v>1.2870000000000001</v>
      </c>
      <c r="H23" s="461">
        <f>'Reference VO 2017'!E19</f>
        <v>1.1700000000000002</v>
      </c>
      <c r="I23" s="94">
        <f t="shared" si="0"/>
        <v>0.11699999999999999</v>
      </c>
      <c r="J23" s="463">
        <f t="shared" si="1"/>
        <v>0.10000000000000009</v>
      </c>
      <c r="K23" s="505">
        <f>'CWD Tariffs'!Q10</f>
        <v>2.0350991622056345</v>
      </c>
      <c r="L23" s="507">
        <f>VTPB!AP12</f>
        <v>1.0673697713344177</v>
      </c>
      <c r="M23" s="511">
        <f>'Reference VO 2017'!F19</f>
        <v>300</v>
      </c>
      <c r="N23" s="511">
        <f t="shared" si="2"/>
        <v>3583.1603223696402</v>
      </c>
      <c r="O23" s="567">
        <f t="shared" si="3"/>
        <v>0.21963022866558246</v>
      </c>
      <c r="P23" s="511">
        <f>Forecasts!F19/GCV/1000</f>
        <v>300</v>
      </c>
      <c r="Q23" s="511">
        <f t="shared" si="4"/>
        <v>737.29867763036032</v>
      </c>
      <c r="R23" s="511">
        <f t="shared" si="5"/>
        <v>4320.4590000000007</v>
      </c>
      <c r="S23" s="511">
        <f t="shared" si="6"/>
        <v>3927.6900000000005</v>
      </c>
      <c r="T23" s="498">
        <f t="shared" si="8"/>
        <v>0.10000000000000009</v>
      </c>
      <c r="U23" s="529" t="s">
        <v>142</v>
      </c>
      <c r="V23" s="531">
        <f>V21+V22</f>
        <v>18849.954912460507</v>
      </c>
      <c r="W23" s="531">
        <f>W21+W22</f>
        <v>18601.33892213014</v>
      </c>
      <c r="X23" s="532">
        <f>V23/W23-1</f>
        <v>1.3365488977494344E-2</v>
      </c>
      <c r="Y23" s="533"/>
    </row>
    <row r="24" spans="1:25" ht="15.75" x14ac:dyDescent="0.3">
      <c r="A24" s="283"/>
      <c r="B24" s="53"/>
      <c r="C24" s="53"/>
      <c r="E24" s="16" t="s">
        <v>32</v>
      </c>
      <c r="F24" s="12" t="s">
        <v>33</v>
      </c>
      <c r="G24" s="537">
        <f>VTPB!AM57</f>
        <v>0.47905396697060471</v>
      </c>
      <c r="H24" s="461">
        <f>'Reference VO 2017'!E20</f>
        <v>0.48</v>
      </c>
      <c r="I24" s="94">
        <f t="shared" si="0"/>
        <v>-9.4603302939527678E-4</v>
      </c>
      <c r="J24" s="463">
        <f t="shared" si="1"/>
        <v>-1.9709021445735164E-3</v>
      </c>
      <c r="K24" s="505">
        <f>'CWD Tariffs'!$Q$30</f>
        <v>0.52537415648352837</v>
      </c>
      <c r="L24" s="507">
        <f>VTPB!AP57</f>
        <v>0.40649621364868299</v>
      </c>
      <c r="M24" s="511">
        <f>'Reference VO 2017'!F20</f>
        <v>414.26532618409294</v>
      </c>
      <c r="N24" s="511">
        <f t="shared" si="2"/>
        <v>1884.3656363800305</v>
      </c>
      <c r="O24" s="567">
        <f t="shared" si="3"/>
        <v>7.2557753321921714E-2</v>
      </c>
      <c r="P24" s="511">
        <f>Forecasts!F20/GCV/1000</f>
        <v>414.26532618409294</v>
      </c>
      <c r="Q24" s="511">
        <f t="shared" si="4"/>
        <v>336.3508254739466</v>
      </c>
      <c r="R24" s="511">
        <f t="shared" si="5"/>
        <v>2220.7164618539773</v>
      </c>
      <c r="S24" s="511">
        <f t="shared" si="6"/>
        <v>2225.1019199999996</v>
      </c>
      <c r="T24" s="498">
        <f t="shared" si="8"/>
        <v>-1.9709021445734054E-3</v>
      </c>
      <c r="U24" s="262"/>
      <c r="V24" s="262"/>
      <c r="Y24" s="55"/>
    </row>
    <row r="25" spans="1:25" ht="16.5" x14ac:dyDescent="0.3">
      <c r="B25" s="104"/>
      <c r="C25" s="105"/>
      <c r="E25" s="16" t="s">
        <v>34</v>
      </c>
      <c r="F25" s="12" t="s">
        <v>35</v>
      </c>
      <c r="G25" s="537">
        <f>VTPB!AM57</f>
        <v>0.47905396697060471</v>
      </c>
      <c r="H25" s="461">
        <f>'Reference VO 2017'!E21</f>
        <v>0.48</v>
      </c>
      <c r="I25" s="94">
        <f t="shared" si="0"/>
        <v>-9.4603302939527678E-4</v>
      </c>
      <c r="J25" s="463">
        <f t="shared" si="1"/>
        <v>-1.9709021445735164E-3</v>
      </c>
      <c r="K25" s="505">
        <f>'CWD Tariffs'!$Q$30</f>
        <v>0.52537415648352837</v>
      </c>
      <c r="L25" s="507">
        <f>VTPB!AP57</f>
        <v>0.40649621364868299</v>
      </c>
      <c r="M25" s="511">
        <f>'Reference VO 2017'!F21</f>
        <v>212.57042001787312</v>
      </c>
      <c r="N25" s="511">
        <f t="shared" si="2"/>
        <v>966.91750304621723</v>
      </c>
      <c r="O25" s="567">
        <f t="shared" si="3"/>
        <v>7.2557753321921714E-2</v>
      </c>
      <c r="P25" s="511">
        <f>Forecasts!F21/GCV/1000</f>
        <v>212.57042001787312</v>
      </c>
      <c r="Q25" s="511">
        <f t="shared" si="4"/>
        <v>172.5904431899823</v>
      </c>
      <c r="R25" s="511">
        <f t="shared" si="5"/>
        <v>1139.5079462361996</v>
      </c>
      <c r="S25" s="511">
        <f t="shared" si="6"/>
        <v>1141.7582400000001</v>
      </c>
      <c r="T25" s="498">
        <f t="shared" si="8"/>
        <v>-1.9709021445735164E-3</v>
      </c>
      <c r="V25" s="262" t="s">
        <v>175</v>
      </c>
      <c r="W25" s="262"/>
    </row>
    <row r="26" spans="1:25" ht="16.5" x14ac:dyDescent="0.3">
      <c r="B26" s="104"/>
      <c r="C26" s="105"/>
      <c r="E26" s="16" t="s">
        <v>36</v>
      </c>
      <c r="F26" s="12" t="s">
        <v>37</v>
      </c>
      <c r="G26" s="537">
        <f>VTPB!AM38</f>
        <v>2.9924019163090172</v>
      </c>
      <c r="H26" s="461">
        <f>'Reference VO 2017'!E22</f>
        <v>2.99</v>
      </c>
      <c r="I26" s="94">
        <f t="shared" si="0"/>
        <v>2.4019163090169826E-3</v>
      </c>
      <c r="J26" s="463">
        <f t="shared" si="1"/>
        <v>8.0331649130993554E-4</v>
      </c>
      <c r="K26" s="505">
        <f>'CWD Tariffs'!Q29</f>
        <v>1.5633883274777867</v>
      </c>
      <c r="L26" s="507">
        <f>VTPB!AP38</f>
        <v>2.8846615463363743</v>
      </c>
      <c r="M26" s="511">
        <f>'Reference VO 2017'!F22</f>
        <v>578.06200000000001</v>
      </c>
      <c r="N26" s="511">
        <f t="shared" si="2"/>
        <v>18659.472963112945</v>
      </c>
      <c r="O26" s="567">
        <f t="shared" si="3"/>
        <v>0.10774036997264291</v>
      </c>
      <c r="P26" s="511">
        <f>Forecasts!F22/GCV/1000</f>
        <v>578.06200000000001</v>
      </c>
      <c r="Q26" s="511">
        <f t="shared" si="4"/>
        <v>696.92006783033889</v>
      </c>
      <c r="R26" s="511">
        <f t="shared" si="5"/>
        <v>19356.393030943284</v>
      </c>
      <c r="S26" s="511">
        <f t="shared" si="6"/>
        <v>19340.856202200001</v>
      </c>
      <c r="T26" s="498">
        <f t="shared" si="8"/>
        <v>8.0331649130993554E-4</v>
      </c>
      <c r="V26" s="479" t="s">
        <v>417</v>
      </c>
      <c r="W26" s="479" t="s">
        <v>169</v>
      </c>
      <c r="X26" s="479" t="s">
        <v>167</v>
      </c>
      <c r="Y26" s="54"/>
    </row>
    <row r="27" spans="1:25" ht="15.75" x14ac:dyDescent="0.3">
      <c r="A27" s="96"/>
      <c r="E27" s="16" t="s">
        <v>38</v>
      </c>
      <c r="F27" s="12" t="s">
        <v>39</v>
      </c>
      <c r="G27" s="537">
        <f>H27</f>
        <v>0.14000000000000001</v>
      </c>
      <c r="H27" s="461">
        <f>'Reference VO 2017'!E23</f>
        <v>0.14000000000000001</v>
      </c>
      <c r="I27" s="94">
        <f t="shared" si="0"/>
        <v>0</v>
      </c>
      <c r="J27" s="463">
        <f t="shared" si="1"/>
        <v>0</v>
      </c>
      <c r="K27" s="505" t="s">
        <v>164</v>
      </c>
      <c r="L27" s="507">
        <f>H27</f>
        <v>0.14000000000000001</v>
      </c>
      <c r="M27" s="511">
        <f>'Reference VO 2017'!F23</f>
        <v>0</v>
      </c>
      <c r="N27" s="511">
        <f t="shared" si="2"/>
        <v>0</v>
      </c>
      <c r="O27" s="567">
        <f t="shared" si="3"/>
        <v>0</v>
      </c>
      <c r="P27" s="511">
        <f>Forecasts!F23/GCV/1000</f>
        <v>0</v>
      </c>
      <c r="Q27" s="511">
        <f t="shared" si="4"/>
        <v>0</v>
      </c>
      <c r="R27" s="511">
        <f t="shared" si="5"/>
        <v>0</v>
      </c>
      <c r="S27" s="511">
        <f t="shared" si="6"/>
        <v>0</v>
      </c>
      <c r="T27" s="498" t="str">
        <f>IFERROR(+R27/S27-1,"n.a.")</f>
        <v>n.a.</v>
      </c>
      <c r="U27" s="529" t="s">
        <v>71</v>
      </c>
      <c r="V27" s="530">
        <f>M15*G10*GCV</f>
        <v>7774.1539161000001</v>
      </c>
      <c r="W27" s="530">
        <f>M15*H10*GCV</f>
        <v>7067.4126510000006</v>
      </c>
      <c r="X27" s="530">
        <f>V27-W27</f>
        <v>706.74126509999951</v>
      </c>
      <c r="Y27" s="53" t="s">
        <v>176</v>
      </c>
    </row>
    <row r="28" spans="1:25" ht="15.75" x14ac:dyDescent="0.3">
      <c r="B28" s="266"/>
      <c r="C28" s="266"/>
      <c r="E28" s="16" t="s">
        <v>40</v>
      </c>
      <c r="F28" s="12" t="s">
        <v>41</v>
      </c>
      <c r="G28" s="537">
        <f>H28</f>
        <v>0.14000000000000001</v>
      </c>
      <c r="H28" s="461">
        <f>'Reference VO 2017'!E24</f>
        <v>0.14000000000000001</v>
      </c>
      <c r="I28" s="94">
        <f t="shared" si="0"/>
        <v>0</v>
      </c>
      <c r="J28" s="463">
        <f t="shared" si="1"/>
        <v>0</v>
      </c>
      <c r="K28" s="505" t="s">
        <v>164</v>
      </c>
      <c r="L28" s="507">
        <f>H28</f>
        <v>0.14000000000000001</v>
      </c>
      <c r="M28" s="511">
        <f>'Reference VO 2017'!F24</f>
        <v>0</v>
      </c>
      <c r="N28" s="511">
        <f t="shared" si="2"/>
        <v>0</v>
      </c>
      <c r="O28" s="567">
        <f t="shared" si="3"/>
        <v>0</v>
      </c>
      <c r="P28" s="511">
        <f>Forecasts!F24/GCV/1000</f>
        <v>0</v>
      </c>
      <c r="Q28" s="511">
        <f t="shared" si="4"/>
        <v>0</v>
      </c>
      <c r="R28" s="511">
        <f t="shared" si="5"/>
        <v>0</v>
      </c>
      <c r="S28" s="511">
        <f t="shared" si="6"/>
        <v>0</v>
      </c>
      <c r="T28" s="498" t="str">
        <f t="shared" ref="T28:T31" si="9">IFERROR(+R28/S28-1,"n.a.")</f>
        <v>n.a.</v>
      </c>
      <c r="U28" s="529" t="s">
        <v>83</v>
      </c>
      <c r="V28" s="530">
        <f>R15</f>
        <v>6717.1890020924566</v>
      </c>
      <c r="W28" s="530">
        <f>S15</f>
        <v>6088.8478224</v>
      </c>
      <c r="X28" s="530">
        <f>V28-W28</f>
        <v>628.34117969245654</v>
      </c>
    </row>
    <row r="29" spans="1:25" ht="15.75" x14ac:dyDescent="0.3">
      <c r="A29" s="96"/>
      <c r="B29" s="267"/>
      <c r="C29" s="266"/>
      <c r="E29" s="16" t="s">
        <v>42</v>
      </c>
      <c r="F29" s="12" t="s">
        <v>43</v>
      </c>
      <c r="G29" s="537">
        <f>VTPB!AL40</f>
        <v>0.4412781661174634</v>
      </c>
      <c r="H29" s="461">
        <f>'Reference VO 2017'!E25</f>
        <v>0.4</v>
      </c>
      <c r="I29" s="94">
        <f t="shared" si="0"/>
        <v>4.1278166117463377E-2</v>
      </c>
      <c r="J29" s="463">
        <f t="shared" si="1"/>
        <v>0.1031954152936585</v>
      </c>
      <c r="K29" s="505">
        <f>'CWD Tariffs'!$Q$26</f>
        <v>0.51674579464262138</v>
      </c>
      <c r="L29" s="507">
        <f>VTPB!AO40</f>
        <v>0.41982441586299513</v>
      </c>
      <c r="M29" s="511">
        <f>'Reference VO 2017'!F25</f>
        <v>263.70196604110811</v>
      </c>
      <c r="N29" s="511">
        <f t="shared" si="2"/>
        <v>1238.8283819389223</v>
      </c>
      <c r="O29" s="567">
        <f t="shared" si="3"/>
        <v>2.1453750254468273E-2</v>
      </c>
      <c r="P29" s="511">
        <f>Forecasts!F25/GCV/1000</f>
        <v>263.70196604110811</v>
      </c>
      <c r="Q29" s="511">
        <f t="shared" si="4"/>
        <v>63.306262594641339</v>
      </c>
      <c r="R29" s="511">
        <f t="shared" si="5"/>
        <v>1302.1346445335637</v>
      </c>
      <c r="S29" s="511">
        <f t="shared" si="6"/>
        <v>1180.33</v>
      </c>
      <c r="T29" s="498">
        <f t="shared" si="9"/>
        <v>0.10319541529365828</v>
      </c>
      <c r="U29" s="529" t="s">
        <v>142</v>
      </c>
      <c r="V29" s="531">
        <f>V27+V28</f>
        <v>14491.342918192457</v>
      </c>
      <c r="W29" s="531">
        <f>W27+W28</f>
        <v>13156.260473400002</v>
      </c>
      <c r="X29" s="532">
        <f>V29/W29-1</f>
        <v>0.10147886988797405</v>
      </c>
      <c r="Y29" s="533"/>
    </row>
    <row r="30" spans="1:25" ht="15.75" x14ac:dyDescent="0.3">
      <c r="B30" s="267"/>
      <c r="C30" s="266"/>
      <c r="E30" s="16" t="s">
        <v>44</v>
      </c>
      <c r="F30" s="12"/>
      <c r="G30" s="537">
        <f>VTPB!AL14</f>
        <v>0</v>
      </c>
      <c r="H30" s="461">
        <f>'Reference VO 2017'!E26</f>
        <v>0</v>
      </c>
      <c r="I30" s="94">
        <f t="shared" si="0"/>
        <v>0</v>
      </c>
      <c r="J30" s="463" t="str">
        <f t="shared" si="1"/>
        <v/>
      </c>
      <c r="K30" s="505" t="s">
        <v>164</v>
      </c>
      <c r="L30" s="507">
        <f>VTPB!AO14</f>
        <v>0</v>
      </c>
      <c r="M30" s="511">
        <f>'Reference VO 2017'!F26</f>
        <v>263.70196604110811</v>
      </c>
      <c r="N30" s="511">
        <f t="shared" si="2"/>
        <v>0</v>
      </c>
      <c r="O30" s="567">
        <f t="shared" si="3"/>
        <v>0</v>
      </c>
      <c r="P30" s="511">
        <f>Forecasts!F26/GCV/1000</f>
        <v>263.70196604110811</v>
      </c>
      <c r="Q30" s="511">
        <f t="shared" si="4"/>
        <v>0</v>
      </c>
      <c r="R30" s="511">
        <f t="shared" si="5"/>
        <v>0</v>
      </c>
      <c r="S30" s="511">
        <f t="shared" si="6"/>
        <v>0</v>
      </c>
      <c r="T30" s="498" t="str">
        <f t="shared" si="9"/>
        <v>n.a.</v>
      </c>
      <c r="U30" s="262"/>
      <c r="V30" s="262"/>
    </row>
    <row r="31" spans="1:25" ht="15.75" x14ac:dyDescent="0.3">
      <c r="E31" s="16" t="s">
        <v>45</v>
      </c>
      <c r="F31" s="12"/>
      <c r="G31" s="537">
        <f>VTPB!AL13</f>
        <v>0</v>
      </c>
      <c r="H31" s="461">
        <f>'Reference VO 2017'!E27</f>
        <v>0</v>
      </c>
      <c r="I31" s="94">
        <f t="shared" si="0"/>
        <v>0</v>
      </c>
      <c r="J31" s="463" t="str">
        <f t="shared" si="1"/>
        <v/>
      </c>
      <c r="K31" s="505" t="s">
        <v>164</v>
      </c>
      <c r="L31" s="507">
        <f>VTPB!AO13</f>
        <v>0</v>
      </c>
      <c r="M31" s="511">
        <f>'Reference VO 2017'!F27</f>
        <v>513.79740840035743</v>
      </c>
      <c r="N31" s="511">
        <f t="shared" si="2"/>
        <v>0</v>
      </c>
      <c r="O31" s="567">
        <f t="shared" si="3"/>
        <v>0</v>
      </c>
      <c r="P31" s="511">
        <f>Forecasts!F27/GCV/1000</f>
        <v>513.79740840035743</v>
      </c>
      <c r="Q31" s="511">
        <f t="shared" si="4"/>
        <v>0</v>
      </c>
      <c r="R31" s="511">
        <f t="shared" si="5"/>
        <v>0</v>
      </c>
      <c r="S31" s="511">
        <f t="shared" si="6"/>
        <v>0</v>
      </c>
      <c r="T31" s="498" t="str">
        <f t="shared" si="9"/>
        <v>n.a.</v>
      </c>
      <c r="U31" s="262"/>
      <c r="V31" s="262" t="s">
        <v>271</v>
      </c>
      <c r="W31" s="262"/>
    </row>
    <row r="32" spans="1:25" ht="16.5" thickBot="1" x14ac:dyDescent="0.35">
      <c r="B32" s="267"/>
      <c r="C32" s="369"/>
      <c r="E32" s="17" t="s">
        <v>46</v>
      </c>
      <c r="F32" s="18" t="s">
        <v>47</v>
      </c>
      <c r="G32" s="538">
        <f>VTPB!AL39</f>
        <v>0.4412781661174634</v>
      </c>
      <c r="H32" s="462">
        <f>'Reference VO 2017'!E28</f>
        <v>0.4</v>
      </c>
      <c r="I32" s="108">
        <f t="shared" si="0"/>
        <v>4.1278166117463377E-2</v>
      </c>
      <c r="J32" s="464">
        <f t="shared" si="1"/>
        <v>0.1031954152936585</v>
      </c>
      <c r="K32" s="506">
        <f>'CWD Tariffs'!$Q$26</f>
        <v>0.51674579464262138</v>
      </c>
      <c r="L32" s="508">
        <f>VTPB!AO39</f>
        <v>0.41982441586299513</v>
      </c>
      <c r="M32" s="512">
        <f>'Reference VO 2017'!F28</f>
        <v>513.79740840035743</v>
      </c>
      <c r="N32" s="512">
        <f t="shared" si="2"/>
        <v>2413.7355577917929</v>
      </c>
      <c r="O32" s="568">
        <f t="shared" si="3"/>
        <v>2.1453750254468273E-2</v>
      </c>
      <c r="P32" s="512">
        <f>Forecasts!F28/GCV/1000</f>
        <v>513.79740840035743</v>
      </c>
      <c r="Q32" s="512">
        <f t="shared" si="4"/>
        <v>123.34604153678809</v>
      </c>
      <c r="R32" s="512">
        <f t="shared" si="5"/>
        <v>2537.081599328581</v>
      </c>
      <c r="S32" s="512">
        <f t="shared" si="6"/>
        <v>2299.7572</v>
      </c>
      <c r="T32" s="499">
        <f t="shared" si="7"/>
        <v>0.10319541529365828</v>
      </c>
      <c r="U32" s="262"/>
      <c r="V32" s="479" t="s">
        <v>417</v>
      </c>
      <c r="W32" s="479" t="s">
        <v>169</v>
      </c>
      <c r="X32" s="479" t="s">
        <v>167</v>
      </c>
    </row>
    <row r="33" spans="1:25" ht="15.75" x14ac:dyDescent="0.3">
      <c r="A33" s="96"/>
      <c r="B33" s="267"/>
      <c r="C33" s="370"/>
      <c r="E33" s="16" t="s">
        <v>357</v>
      </c>
      <c r="F33" s="12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20"/>
      <c r="R33" s="20"/>
      <c r="S33" s="73"/>
      <c r="T33" s="25">
        <f>SUM(N9:N32)</f>
        <v>135274.07758583417</v>
      </c>
      <c r="U33" s="529" t="s">
        <v>71</v>
      </c>
      <c r="V33" s="530">
        <f>G9*M18*GCV</f>
        <v>5402.4201000000003</v>
      </c>
      <c r="W33" s="530">
        <f>H9*M18*GCV</f>
        <v>4911.2910000000002</v>
      </c>
      <c r="X33" s="530">
        <f>V33-W33</f>
        <v>491.12910000000011</v>
      </c>
    </row>
    <row r="34" spans="1:25" ht="15.75" x14ac:dyDescent="0.3">
      <c r="A34" s="96"/>
      <c r="B34" s="267"/>
      <c r="C34" s="267"/>
      <c r="E34" s="16" t="s">
        <v>358</v>
      </c>
      <c r="F34" s="12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20"/>
      <c r="R34" s="20"/>
      <c r="S34" s="73"/>
      <c r="T34" s="25">
        <f>SUM(Q9:Q32)</f>
        <v>18417.43233188456</v>
      </c>
      <c r="U34" s="529" t="s">
        <v>83</v>
      </c>
      <c r="V34" s="530">
        <f>G18*M18*GCV</f>
        <v>7880.8926754516469</v>
      </c>
      <c r="W34" s="530">
        <f>H18*M18*GCV</f>
        <v>7143.6960000000008</v>
      </c>
      <c r="X34" s="530">
        <f>V34-W34</f>
        <v>737.19667545164612</v>
      </c>
    </row>
    <row r="35" spans="1:25" ht="16.5" thickBot="1" x14ac:dyDescent="0.35">
      <c r="B35" s="267"/>
      <c r="C35" s="267"/>
      <c r="E35" s="16" t="s">
        <v>149</v>
      </c>
      <c r="F35" s="12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20"/>
      <c r="R35" s="20"/>
      <c r="S35" s="73"/>
      <c r="T35" s="125">
        <f>T33+T34</f>
        <v>153691.50991771874</v>
      </c>
      <c r="U35" s="529" t="s">
        <v>142</v>
      </c>
      <c r="V35" s="531">
        <f>V33+V34</f>
        <v>13283.312775451646</v>
      </c>
      <c r="W35" s="531">
        <f>W33+W34</f>
        <v>12054.987000000001</v>
      </c>
      <c r="X35" s="532">
        <f>V35/W35-1</f>
        <v>0.10189357943327892</v>
      </c>
      <c r="Y35" s="533"/>
    </row>
    <row r="36" spans="1:25" ht="15.75" x14ac:dyDescent="0.3">
      <c r="B36" s="267"/>
      <c r="C36" s="267"/>
      <c r="E36" s="8" t="s">
        <v>359</v>
      </c>
      <c r="F36" s="7"/>
      <c r="G36" s="70"/>
      <c r="H36" s="70"/>
      <c r="I36" s="70"/>
      <c r="J36" s="70"/>
      <c r="K36" s="70"/>
      <c r="L36" s="70"/>
      <c r="M36" s="70"/>
      <c r="N36" s="70"/>
      <c r="O36" s="70"/>
      <c r="P36" s="70"/>
      <c r="Q36" s="71"/>
      <c r="R36" s="71"/>
      <c r="S36" s="71"/>
      <c r="T36" s="93">
        <f>T33-(costs_GCA-costs_GCA_var)/1000</f>
        <v>3914.3775858341542</v>
      </c>
    </row>
    <row r="37" spans="1:25" ht="16.5" thickBot="1" x14ac:dyDescent="0.35">
      <c r="B37" s="267"/>
      <c r="C37" s="267"/>
      <c r="E37" s="17" t="s">
        <v>360</v>
      </c>
      <c r="F37" s="18"/>
      <c r="G37" s="21"/>
      <c r="H37" s="21"/>
      <c r="I37" s="21"/>
      <c r="J37" s="21"/>
      <c r="K37" s="21"/>
      <c r="L37" s="21"/>
      <c r="M37" s="21"/>
      <c r="N37" s="21"/>
      <c r="O37" s="21"/>
      <c r="P37" s="21"/>
      <c r="Q37" s="22"/>
      <c r="R37" s="22"/>
      <c r="S37" s="22"/>
      <c r="T37" s="27">
        <f>T34-costs_GCA_var/1000</f>
        <v>7781.0323318845603</v>
      </c>
      <c r="V37" s="262" t="s">
        <v>272</v>
      </c>
      <c r="W37" s="262"/>
    </row>
    <row r="38" spans="1:25" ht="16.5" thickBot="1" x14ac:dyDescent="0.35">
      <c r="B38" s="267"/>
      <c r="C38" s="267"/>
      <c r="E38" s="17" t="s">
        <v>177</v>
      </c>
      <c r="F38" s="18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2"/>
      <c r="R38" s="22"/>
      <c r="S38" s="22"/>
      <c r="T38" s="84">
        <f>Q4-T35</f>
        <v>-11695.409917718731</v>
      </c>
      <c r="V38" s="479" t="s">
        <v>417</v>
      </c>
      <c r="W38" s="479" t="s">
        <v>169</v>
      </c>
      <c r="X38" s="479" t="s">
        <v>167</v>
      </c>
    </row>
    <row r="39" spans="1:25" ht="16.5" thickBot="1" x14ac:dyDescent="0.35">
      <c r="B39" s="267"/>
      <c r="C39" s="267"/>
      <c r="E39" s="17" t="s">
        <v>150</v>
      </c>
      <c r="F39" s="18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2"/>
      <c r="R39" s="22"/>
      <c r="S39" s="22"/>
      <c r="T39" s="83">
        <f>T35+T38-Q4</f>
        <v>0</v>
      </c>
      <c r="U39" s="529" t="s">
        <v>71</v>
      </c>
      <c r="V39" s="530">
        <f>G9*M17*GCV</f>
        <v>2864.9128569599998</v>
      </c>
      <c r="W39" s="530">
        <f>H9*M17*GCV</f>
        <v>2604.4662335999997</v>
      </c>
      <c r="X39" s="530">
        <f>V39-W39</f>
        <v>260.4466233600001</v>
      </c>
    </row>
    <row r="40" spans="1:25" ht="15.75" thickBot="1" x14ac:dyDescent="0.3">
      <c r="U40" s="529" t="s">
        <v>83</v>
      </c>
      <c r="V40" s="530">
        <f>G17*M17*GCV</f>
        <v>7537.578078640543</v>
      </c>
      <c r="W40" s="530">
        <f>H17*M17*GCV</f>
        <v>11263.470854399999</v>
      </c>
      <c r="X40" s="530">
        <f>V40-W40</f>
        <v>-3725.8927757594556</v>
      </c>
    </row>
    <row r="41" spans="1:25" ht="19.5" thickBot="1" x14ac:dyDescent="0.35">
      <c r="E41" s="4" t="s">
        <v>48</v>
      </c>
      <c r="F41" s="5"/>
      <c r="G41" s="6"/>
      <c r="H41" s="6"/>
      <c r="I41" s="6"/>
      <c r="J41" s="6"/>
      <c r="K41" s="503"/>
      <c r="L41" s="102"/>
      <c r="M41" s="6"/>
      <c r="N41" s="1" t="s">
        <v>394</v>
      </c>
      <c r="O41" s="85"/>
      <c r="P41" s="85"/>
      <c r="Q41" s="77">
        <f>costs_TAG/1000</f>
        <v>312268.90000000002</v>
      </c>
      <c r="R41" s="111"/>
      <c r="S41" s="111"/>
      <c r="T41" s="112"/>
      <c r="U41" s="529" t="s">
        <v>142</v>
      </c>
      <c r="V41" s="531">
        <f>V39+V40</f>
        <v>10402.490935600543</v>
      </c>
      <c r="W41" s="531">
        <f>W39+W40</f>
        <v>13867.937087999999</v>
      </c>
      <c r="X41" s="532">
        <f>V41/W41-1</f>
        <v>-0.24988908807483168</v>
      </c>
      <c r="Y41" s="533"/>
    </row>
    <row r="42" spans="1:25" ht="15.75" thickBot="1" x14ac:dyDescent="0.3">
      <c r="E42" s="494"/>
      <c r="F42" s="492"/>
      <c r="G42" s="495"/>
      <c r="H42" s="493"/>
      <c r="I42" s="493"/>
      <c r="J42" s="492"/>
      <c r="K42" s="504"/>
      <c r="L42" s="496"/>
      <c r="M42" s="492"/>
      <c r="N42" s="492"/>
      <c r="O42" s="495"/>
      <c r="P42" s="495"/>
      <c r="Q42" s="492"/>
      <c r="R42" s="492"/>
      <c r="S42" s="492"/>
      <c r="T42" s="497"/>
    </row>
    <row r="43" spans="1:25" ht="15.75" x14ac:dyDescent="0.3">
      <c r="E43" s="8"/>
      <c r="F43" s="7"/>
      <c r="G43" s="9" t="s">
        <v>151</v>
      </c>
      <c r="H43" s="9" t="s">
        <v>1</v>
      </c>
      <c r="I43" s="9" t="s">
        <v>381</v>
      </c>
      <c r="J43" s="9" t="s">
        <v>383</v>
      </c>
      <c r="K43" s="10" t="s">
        <v>229</v>
      </c>
      <c r="L43" s="9"/>
      <c r="M43" s="9" t="s">
        <v>154</v>
      </c>
      <c r="N43" s="9" t="s">
        <v>157</v>
      </c>
      <c r="O43" s="9"/>
      <c r="P43" s="9" t="s">
        <v>350</v>
      </c>
      <c r="Q43" s="9" t="s">
        <v>157</v>
      </c>
      <c r="R43" s="9" t="s">
        <v>407</v>
      </c>
      <c r="S43" s="9" t="s">
        <v>405</v>
      </c>
      <c r="T43" s="10" t="s">
        <v>153</v>
      </c>
    </row>
    <row r="44" spans="1:25" ht="15.75" x14ac:dyDescent="0.3">
      <c r="A44" s="96"/>
      <c r="E44" s="16" t="s">
        <v>158</v>
      </c>
      <c r="F44" s="12" t="s">
        <v>2</v>
      </c>
      <c r="G44" s="13" t="s">
        <v>393</v>
      </c>
      <c r="H44" s="13" t="s">
        <v>230</v>
      </c>
      <c r="I44" s="13" t="s">
        <v>382</v>
      </c>
      <c r="J44" s="13" t="s">
        <v>382</v>
      </c>
      <c r="K44" s="15" t="s">
        <v>230</v>
      </c>
      <c r="L44" s="13" t="s">
        <v>353</v>
      </c>
      <c r="M44" s="13" t="s">
        <v>155</v>
      </c>
      <c r="N44" s="13" t="s">
        <v>354</v>
      </c>
      <c r="O44" s="13" t="s">
        <v>355</v>
      </c>
      <c r="P44" s="13" t="s">
        <v>351</v>
      </c>
      <c r="Q44" s="13" t="s">
        <v>356</v>
      </c>
      <c r="R44" s="109" t="s">
        <v>406</v>
      </c>
      <c r="S44" s="109" t="s">
        <v>406</v>
      </c>
      <c r="T44" s="15" t="s">
        <v>152</v>
      </c>
    </row>
    <row r="45" spans="1:25" ht="15.75" x14ac:dyDescent="0.3">
      <c r="A45" s="96"/>
      <c r="E45" s="16"/>
      <c r="F45" s="12"/>
      <c r="G45" s="97" t="s">
        <v>145</v>
      </c>
      <c r="H45" s="97" t="s">
        <v>145</v>
      </c>
      <c r="I45" s="97" t="s">
        <v>145</v>
      </c>
      <c r="J45" s="97"/>
      <c r="K45" s="99" t="s">
        <v>145</v>
      </c>
      <c r="L45" s="97" t="s">
        <v>145</v>
      </c>
      <c r="M45" s="97" t="s">
        <v>156</v>
      </c>
      <c r="N45" s="103" t="s">
        <v>143</v>
      </c>
      <c r="O45" s="97" t="s">
        <v>145</v>
      </c>
      <c r="P45" s="97" t="s">
        <v>156</v>
      </c>
      <c r="Q45" s="103" t="s">
        <v>143</v>
      </c>
      <c r="R45" s="110" t="s">
        <v>143</v>
      </c>
      <c r="S45" s="110" t="s">
        <v>143</v>
      </c>
      <c r="T45" s="99"/>
    </row>
    <row r="46" spans="1:25" ht="15.75" x14ac:dyDescent="0.3">
      <c r="E46" s="16" t="s">
        <v>3</v>
      </c>
      <c r="F46" s="12" t="s">
        <v>4</v>
      </c>
      <c r="G46" s="500">
        <f>VTPB!AL10</f>
        <v>0.84700000000000009</v>
      </c>
      <c r="H46" s="461">
        <f>'Reference VO 2017'!E29</f>
        <v>0.77</v>
      </c>
      <c r="I46" s="94">
        <f t="shared" ref="I46:I51" si="10">G46-H46</f>
        <v>7.7000000000000068E-2</v>
      </c>
      <c r="J46" s="463">
        <f t="shared" ref="J46:J51" si="11">IFERROR(+G46/H46-1,0)</f>
        <v>0.10000000000000009</v>
      </c>
      <c r="K46" s="505">
        <f>'CWD Tariffs'!$Q$9</f>
        <v>2.2612212913395937</v>
      </c>
      <c r="L46" s="509">
        <f>VTPB!AO10</f>
        <v>0.60296641259379735</v>
      </c>
      <c r="M46" s="511">
        <f>'Reference VO 2017'!F29</f>
        <v>5151.366</v>
      </c>
      <c r="N46" s="511">
        <f t="shared" ref="N46:N51" si="12">L46*M46*GCV</f>
        <v>34757.26657538001</v>
      </c>
      <c r="O46" s="567">
        <f t="shared" ref="O46:O51" si="13">G46-L46</f>
        <v>0.24403358740620273</v>
      </c>
      <c r="P46" s="511">
        <f>Forecasts!F29/GCV/1000</f>
        <v>5151.366</v>
      </c>
      <c r="Q46" s="511">
        <f t="shared" ref="Q46:Q51" si="14">P46*O46*GCV</f>
        <v>14067.019776999996</v>
      </c>
      <c r="R46" s="511">
        <f t="shared" ref="R46:R51" si="15">IFERROR(N46+Q46,0)</f>
        <v>48824.286352380004</v>
      </c>
      <c r="S46" s="511">
        <f t="shared" ref="S46:S51" si="16">+H46*M46*GCV</f>
        <v>44385.714865800001</v>
      </c>
      <c r="T46" s="498">
        <f>+R46/S46-1</f>
        <v>0.10000000000000009</v>
      </c>
    </row>
    <row r="47" spans="1:25" ht="15.75" x14ac:dyDescent="0.3">
      <c r="E47" s="16" t="s">
        <v>49</v>
      </c>
      <c r="F47" s="12" t="s">
        <v>50</v>
      </c>
      <c r="G47" s="500">
        <f>VTPB!AL9</f>
        <v>1.4300000000000002</v>
      </c>
      <c r="H47" s="461">
        <f>'Reference VO 2017'!E30</f>
        <v>1.3</v>
      </c>
      <c r="I47" s="94">
        <f t="shared" si="10"/>
        <v>0.13000000000000012</v>
      </c>
      <c r="J47" s="463">
        <f t="shared" si="11"/>
        <v>0.10000000000000009</v>
      </c>
      <c r="K47" s="505">
        <f>'CWD Tariffs'!$Q$9</f>
        <v>2.2612212913395937</v>
      </c>
      <c r="L47" s="509">
        <f>VTPB!AO9</f>
        <v>1.1859664125937974</v>
      </c>
      <c r="M47" s="511">
        <f>'Reference VO 2017'!F30</f>
        <v>0</v>
      </c>
      <c r="N47" s="511">
        <f t="shared" si="12"/>
        <v>0</v>
      </c>
      <c r="O47" s="567">
        <f t="shared" si="13"/>
        <v>0.24403358740620273</v>
      </c>
      <c r="P47" s="511">
        <f>Forecasts!F30/GCV/1000</f>
        <v>0</v>
      </c>
      <c r="Q47" s="511">
        <f t="shared" si="14"/>
        <v>0</v>
      </c>
      <c r="R47" s="511">
        <f t="shared" si="15"/>
        <v>0</v>
      </c>
      <c r="S47" s="511">
        <f t="shared" si="16"/>
        <v>0</v>
      </c>
      <c r="T47" s="498" t="s">
        <v>164</v>
      </c>
    </row>
    <row r="48" spans="1:25" ht="15.75" x14ac:dyDescent="0.3">
      <c r="E48" s="16" t="s">
        <v>51</v>
      </c>
      <c r="F48" s="12" t="s">
        <v>52</v>
      </c>
      <c r="G48" s="500">
        <f>VTPB!AL32</f>
        <v>5.093</v>
      </c>
      <c r="H48" s="461">
        <f>'Reference VO 2017'!E31</f>
        <v>4.63</v>
      </c>
      <c r="I48" s="94">
        <f t="shared" si="10"/>
        <v>0.46300000000000008</v>
      </c>
      <c r="J48" s="463">
        <f t="shared" si="11"/>
        <v>0.10000000000000009</v>
      </c>
      <c r="K48" s="505">
        <f>'CWD Tariffs'!Q24</f>
        <v>3.1310554412222964</v>
      </c>
      <c r="L48" s="509">
        <f>VTPB!AO32</f>
        <v>3.5654829908973631</v>
      </c>
      <c r="M48" s="511">
        <f>'Reference VO 2017'!F31</f>
        <v>4339.4900000000007</v>
      </c>
      <c r="N48" s="511">
        <f t="shared" si="12"/>
        <v>173135.90740485335</v>
      </c>
      <c r="O48" s="567">
        <f t="shared" si="13"/>
        <v>1.5275170091026369</v>
      </c>
      <c r="P48" s="511">
        <f>Forecasts!F31/GCV/1000</f>
        <v>4339.4900000000007</v>
      </c>
      <c r="Q48" s="511">
        <f t="shared" si="14"/>
        <v>74174.535153446675</v>
      </c>
      <c r="R48" s="511">
        <f t="shared" si="15"/>
        <v>247310.44255830004</v>
      </c>
      <c r="S48" s="511">
        <f t="shared" si="16"/>
        <v>224827.67505300004</v>
      </c>
      <c r="T48" s="498">
        <f>+R48/S48-1</f>
        <v>9.9999999999999867E-2</v>
      </c>
    </row>
    <row r="49" spans="5:20" ht="15.75" x14ac:dyDescent="0.3">
      <c r="E49" s="16" t="s">
        <v>25</v>
      </c>
      <c r="F49" s="12" t="s">
        <v>26</v>
      </c>
      <c r="G49" s="500">
        <f>VTPB!AL57</f>
        <v>0.53228218552289408</v>
      </c>
      <c r="H49" s="461">
        <f>'Reference VO 2017'!E32</f>
        <v>0.53</v>
      </c>
      <c r="I49" s="94">
        <f t="shared" si="10"/>
        <v>2.2821855228940535E-3</v>
      </c>
      <c r="J49" s="463">
        <f t="shared" si="11"/>
        <v>4.3060104205547844E-3</v>
      </c>
      <c r="K49" s="505">
        <f>'CWD Tariffs'!Q28</f>
        <v>0.58374906275947602</v>
      </c>
      <c r="L49" s="509">
        <f>VTPB!AO57</f>
        <v>0.45166245960964774</v>
      </c>
      <c r="M49" s="511">
        <f>'Reference VO 2017'!F32</f>
        <v>318.37998212689905</v>
      </c>
      <c r="N49" s="511">
        <f t="shared" si="12"/>
        <v>1609.1251983024231</v>
      </c>
      <c r="O49" s="567">
        <f t="shared" si="13"/>
        <v>8.0619725913246343E-2</v>
      </c>
      <c r="P49" s="511">
        <f>Forecasts!F32/GCV/1000</f>
        <v>318.37998212689899</v>
      </c>
      <c r="Q49" s="511">
        <f t="shared" si="14"/>
        <v>287.22164015879713</v>
      </c>
      <c r="R49" s="511">
        <f t="shared" si="15"/>
        <v>1896.3468384612202</v>
      </c>
      <c r="S49" s="511">
        <f t="shared" si="16"/>
        <v>1888.2161600000002</v>
      </c>
      <c r="T49" s="498">
        <f>+R49/S49-1</f>
        <v>4.3060104205547844E-3</v>
      </c>
    </row>
    <row r="50" spans="5:20" ht="15.75" x14ac:dyDescent="0.3">
      <c r="E50" s="16" t="s">
        <v>53</v>
      </c>
      <c r="F50" s="12" t="s">
        <v>54</v>
      </c>
      <c r="G50" s="500">
        <f>VTPB!AL58</f>
        <v>4.620000000000001</v>
      </c>
      <c r="H50" s="461">
        <f>'Reference VO 2017'!E33</f>
        <v>4.2</v>
      </c>
      <c r="I50" s="94">
        <f t="shared" si="10"/>
        <v>0.42000000000000082</v>
      </c>
      <c r="J50" s="463">
        <f t="shared" si="11"/>
        <v>0.10000000000000009</v>
      </c>
      <c r="K50" s="505">
        <f>'CWD Tariffs'!Q27</f>
        <v>2.8005345396999974</v>
      </c>
      <c r="L50" s="509">
        <f>VTPB!AO58</f>
        <v>3.2662530639160305</v>
      </c>
      <c r="M50" s="511">
        <f>'Reference VO 2017'!F33</f>
        <v>42.168990169794462</v>
      </c>
      <c r="N50" s="511">
        <f t="shared" si="12"/>
        <v>1541.2500995231212</v>
      </c>
      <c r="O50" s="567">
        <f t="shared" si="13"/>
        <v>1.3537469360839705</v>
      </c>
      <c r="P50" s="511">
        <f>Forecasts!F33/GCV/1000</f>
        <v>42.168990169794462</v>
      </c>
      <c r="Q50" s="511">
        <f t="shared" si="14"/>
        <v>638.79392047687929</v>
      </c>
      <c r="R50" s="511">
        <f t="shared" si="15"/>
        <v>2180.0440200000003</v>
      </c>
      <c r="S50" s="511">
        <f t="shared" si="16"/>
        <v>1981.8582000000001</v>
      </c>
      <c r="T50" s="498">
        <f>+R50/S50-1</f>
        <v>0.10000000000000009</v>
      </c>
    </row>
    <row r="51" spans="5:20" ht="16.5" thickBot="1" x14ac:dyDescent="0.35">
      <c r="E51" s="17" t="s">
        <v>55</v>
      </c>
      <c r="F51" s="18" t="s">
        <v>56</v>
      </c>
      <c r="G51" s="501">
        <f>VTPB!AM9</f>
        <v>0.68200000000000005</v>
      </c>
      <c r="H51" s="462">
        <f>'Reference VO 2017'!E34</f>
        <v>0.62</v>
      </c>
      <c r="I51" s="108">
        <f t="shared" si="10"/>
        <v>6.2000000000000055E-2</v>
      </c>
      <c r="J51" s="464">
        <f t="shared" si="11"/>
        <v>0.10000000000000009</v>
      </c>
      <c r="K51" s="506">
        <f>'CWD Tariffs'!Q10</f>
        <v>2.0350991622056345</v>
      </c>
      <c r="L51" s="510">
        <f>VTPB!AP9</f>
        <v>0.46236977133441759</v>
      </c>
      <c r="M51" s="512">
        <f>'Reference VO 2017'!F34</f>
        <v>47.482999999999997</v>
      </c>
      <c r="N51" s="512">
        <f t="shared" si="12"/>
        <v>245.67313610692534</v>
      </c>
      <c r="O51" s="568">
        <f t="shared" si="13"/>
        <v>0.21963022866558246</v>
      </c>
      <c r="P51" s="512">
        <f>Forecasts!F34/GCV/1000</f>
        <v>47.48299999999999</v>
      </c>
      <c r="Q51" s="512">
        <f t="shared" si="14"/>
        <v>116.69717703307462</v>
      </c>
      <c r="R51" s="512">
        <f t="shared" si="15"/>
        <v>362.37031313999995</v>
      </c>
      <c r="S51" s="512">
        <f t="shared" si="16"/>
        <v>329.42755739999996</v>
      </c>
      <c r="T51" s="499">
        <f>+R51/S51-1</f>
        <v>0.10000000000000009</v>
      </c>
    </row>
    <row r="52" spans="5:20" ht="15.75" x14ac:dyDescent="0.3">
      <c r="E52" s="16" t="s">
        <v>357</v>
      </c>
      <c r="F52" s="12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78"/>
      <c r="T52" s="25">
        <f>SUM(N46:N51)</f>
        <v>211289.22241416582</v>
      </c>
    </row>
    <row r="53" spans="5:20" ht="15.75" x14ac:dyDescent="0.3">
      <c r="E53" s="16" t="s">
        <v>358</v>
      </c>
      <c r="F53" s="12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78"/>
      <c r="T53" s="25">
        <f>+SUM(Q46:Q51)</f>
        <v>89284.267668115412</v>
      </c>
    </row>
    <row r="54" spans="5:20" ht="16.5" thickBot="1" x14ac:dyDescent="0.35">
      <c r="E54" s="16" t="s">
        <v>149</v>
      </c>
      <c r="F54" s="12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78"/>
      <c r="T54" s="125">
        <f>T52+T53</f>
        <v>300573.49008228123</v>
      </c>
    </row>
    <row r="55" spans="5:20" ht="15.75" x14ac:dyDescent="0.3">
      <c r="E55" s="8" t="s">
        <v>359</v>
      </c>
      <c r="F55" s="7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1"/>
      <c r="R55" s="71"/>
      <c r="S55" s="72"/>
      <c r="T55" s="93">
        <f>T52-(costs_TAG-costs_TAG_var)/1000</f>
        <v>-3914.3775858341833</v>
      </c>
    </row>
    <row r="56" spans="5:20" ht="16.5" thickBot="1" x14ac:dyDescent="0.35">
      <c r="E56" s="17" t="s">
        <v>360</v>
      </c>
      <c r="F56" s="18"/>
      <c r="G56" s="21"/>
      <c r="H56" s="21"/>
      <c r="I56" s="21"/>
      <c r="J56" s="21"/>
      <c r="K56" s="21"/>
      <c r="L56" s="21"/>
      <c r="M56" s="21"/>
      <c r="N56" s="21"/>
      <c r="O56" s="21"/>
      <c r="P56" s="21"/>
      <c r="Q56" s="22"/>
      <c r="R56" s="22"/>
      <c r="S56" s="74"/>
      <c r="T56" s="27">
        <f>T53-costs_TAG_var/1000</f>
        <v>-7781.0323318845913</v>
      </c>
    </row>
    <row r="57" spans="5:20" ht="16.5" thickBot="1" x14ac:dyDescent="0.35">
      <c r="E57" s="17" t="s">
        <v>177</v>
      </c>
      <c r="F57" s="23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84">
        <f>Q41-T54</f>
        <v>11695.409917718789</v>
      </c>
    </row>
    <row r="58" spans="5:20" ht="16.5" thickBot="1" x14ac:dyDescent="0.35">
      <c r="E58" s="17" t="s">
        <v>150</v>
      </c>
      <c r="F58" s="18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1"/>
      <c r="R58" s="26"/>
      <c r="S58" s="26"/>
      <c r="T58" s="83">
        <f>-(T38+T57)</f>
        <v>-5.8207660913467407E-11</v>
      </c>
    </row>
  </sheetData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4">
    <tabColor rgb="FF00486A"/>
  </sheetPr>
  <dimension ref="A1"/>
  <sheetViews>
    <sheetView workbookViewId="0">
      <selection activeCell="B36" sqref="B36"/>
    </sheetView>
  </sheetViews>
  <sheetFormatPr baseColWidth="10" defaultRowHeight="15" x14ac:dyDescent="0.25"/>
  <sheetData/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5">
    <tabColor theme="4"/>
    <outlinePr summaryBelow="0" summaryRight="0"/>
  </sheetPr>
  <dimension ref="A1:AS74"/>
  <sheetViews>
    <sheetView zoomScale="70" zoomScaleNormal="70" workbookViewId="0">
      <pane xSplit="2" ySplit="7" topLeftCell="C8" activePane="bottomRight" state="frozen"/>
      <selection activeCell="B36" sqref="B36"/>
      <selection pane="topRight" activeCell="B36" sqref="B36"/>
      <selection pane="bottomLeft" activeCell="B36" sqref="B36"/>
      <selection pane="bottomRight" activeCell="B36" sqref="B36"/>
    </sheetView>
  </sheetViews>
  <sheetFormatPr baseColWidth="10" defaultRowHeight="15" outlineLevelCol="1" x14ac:dyDescent="0.25"/>
  <cols>
    <col min="1" max="1" width="6.5703125" customWidth="1"/>
    <col min="2" max="2" width="42.5703125" bestFit="1" customWidth="1"/>
    <col min="3" max="3" width="16.5703125" customWidth="1"/>
    <col min="5" max="5" width="12.5703125" bestFit="1" customWidth="1"/>
    <col min="6" max="6" width="13.5703125" customWidth="1"/>
    <col min="8" max="8" width="12.140625" style="38" customWidth="1"/>
    <col min="9" max="9" width="11.85546875" style="38" customWidth="1"/>
    <col min="10" max="10" width="12.140625" customWidth="1"/>
    <col min="11" max="12" width="11.42578125" customWidth="1" outlineLevel="1"/>
    <col min="13" max="13" width="10.42578125" customWidth="1"/>
    <col min="14" max="14" width="14.85546875" customWidth="1" outlineLevel="1"/>
    <col min="15" max="15" width="8.5703125" customWidth="1" outlineLevel="1"/>
    <col min="16" max="16" width="9.85546875" customWidth="1" outlineLevel="1"/>
    <col min="17" max="17" width="18.140625" customWidth="1" outlineLevel="1"/>
    <col min="18" max="18" width="11.42578125" outlineLevel="1"/>
    <col min="19" max="19" width="15.7109375" bestFit="1" customWidth="1" outlineLevel="1"/>
    <col min="20" max="20" width="8.5703125" customWidth="1" outlineLevel="1"/>
    <col min="21" max="21" width="14" bestFit="1" customWidth="1" outlineLevel="1"/>
    <col min="22" max="22" width="17.85546875" customWidth="1" outlineLevel="1"/>
    <col min="23" max="23" width="17.42578125" bestFit="1" customWidth="1" outlineLevel="1"/>
    <col min="24" max="24" width="11.42578125" outlineLevel="1"/>
    <col min="25" max="25" width="10.85546875" style="283" outlineLevel="1"/>
    <col min="26" max="26" width="15.85546875" style="283" bestFit="1" customWidth="1" outlineLevel="1"/>
    <col min="27" max="27" width="11.42578125" outlineLevel="1"/>
    <col min="28" max="28" width="15.85546875" style="283" bestFit="1" customWidth="1" outlineLevel="1"/>
    <col min="29" max="29" width="17" style="283" customWidth="1" outlineLevel="1"/>
    <col min="30" max="30" width="15.85546875" style="283" bestFit="1" customWidth="1" outlineLevel="1"/>
    <col min="31" max="31" width="14" style="283" bestFit="1" customWidth="1" outlineLevel="1"/>
    <col min="32" max="32" width="13.28515625" style="283" customWidth="1" outlineLevel="1"/>
    <col min="33" max="33" width="14.7109375" style="283" customWidth="1" outlineLevel="1"/>
    <col min="34" max="34" width="15.85546875" style="283" bestFit="1" customWidth="1" outlineLevel="1"/>
    <col min="35" max="35" width="11.42578125" style="283" outlineLevel="1"/>
    <col min="36" max="36" width="15.42578125" style="283" customWidth="1" outlineLevel="1"/>
    <col min="37" max="37" width="17.7109375" style="283" customWidth="1" outlineLevel="1"/>
    <col min="38" max="38" width="22.5703125" style="283" customWidth="1" outlineLevel="1"/>
    <col min="39" max="39" width="16.28515625" style="283" customWidth="1" outlineLevel="1"/>
    <col min="40" max="40" width="3.140625" style="283" customWidth="1" outlineLevel="1"/>
    <col min="41" max="42" width="11.5703125" style="283" outlineLevel="1"/>
  </cols>
  <sheetData>
    <row r="1" spans="1:42" ht="18" x14ac:dyDescent="0.25">
      <c r="A1" s="28" t="s">
        <v>57</v>
      </c>
      <c r="B1" s="28"/>
      <c r="C1" s="28"/>
      <c r="D1" s="28"/>
      <c r="E1" s="28"/>
      <c r="F1" s="28"/>
      <c r="G1" s="28"/>
      <c r="H1" s="63"/>
      <c r="I1" s="63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8"/>
      <c r="AN1" s="28"/>
      <c r="AO1" s="28"/>
      <c r="AP1" s="28"/>
    </row>
    <row r="2" spans="1:42" x14ac:dyDescent="0.25">
      <c r="B2" s="29" t="s">
        <v>60</v>
      </c>
      <c r="C2" s="30">
        <f>costs_GCA+costs_TAG</f>
        <v>454265000</v>
      </c>
      <c r="D2" t="s">
        <v>61</v>
      </c>
      <c r="E2" s="53"/>
      <c r="F2" s="46"/>
      <c r="S2" s="283"/>
      <c r="T2" s="283"/>
    </row>
    <row r="3" spans="1:42" x14ac:dyDescent="0.25">
      <c r="B3" s="29" t="s">
        <v>352</v>
      </c>
      <c r="C3" s="30">
        <f>Costscalc!C5+Costscalc!C9+VTPB_NICT!U23</f>
        <v>454265000</v>
      </c>
      <c r="D3" t="s">
        <v>61</v>
      </c>
      <c r="E3" s="53"/>
      <c r="F3" s="46"/>
      <c r="M3" s="29" t="s">
        <v>402</v>
      </c>
      <c r="N3" s="30">
        <f>Costscalc!C5+Costscalc!C9+VTPB_NICT!U23-(costs_GCA_var+costs_TAG_var)</f>
        <v>346563300</v>
      </c>
      <c r="S3" s="283"/>
      <c r="T3" s="283"/>
    </row>
    <row r="4" spans="1:42" x14ac:dyDescent="0.25">
      <c r="E4" s="53"/>
      <c r="F4" s="46"/>
    </row>
    <row r="5" spans="1:42" x14ac:dyDescent="0.25">
      <c r="I5"/>
      <c r="K5" s="53"/>
      <c r="L5" s="53"/>
      <c r="M5" s="385"/>
      <c r="N5" s="386"/>
      <c r="O5" s="53"/>
      <c r="P5" s="53"/>
      <c r="Q5" s="53"/>
      <c r="R5" s="53"/>
      <c r="S5" s="53"/>
      <c r="T5" s="53"/>
      <c r="U5" s="53"/>
      <c r="V5" s="53"/>
      <c r="W5" s="53"/>
      <c r="X5" s="53"/>
      <c r="Y5" s="53"/>
      <c r="Z5" s="53"/>
      <c r="AA5" s="53"/>
      <c r="AB5" s="53"/>
      <c r="AC5" s="53"/>
      <c r="AD5" s="53"/>
      <c r="AE5" s="53"/>
      <c r="AF5" s="53"/>
      <c r="AG5" s="53"/>
      <c r="AH5" s="53"/>
      <c r="AI5" s="53"/>
      <c r="AJ5" s="53"/>
      <c r="AK5" s="53"/>
      <c r="AL5" s="53"/>
      <c r="AM5" s="53"/>
      <c r="AN5" s="53"/>
      <c r="AO5" s="53"/>
      <c r="AP5" s="53"/>
    </row>
    <row r="6" spans="1:42" x14ac:dyDescent="0.25">
      <c r="H6" s="64" t="s">
        <v>84</v>
      </c>
      <c r="I6" s="64" t="s">
        <v>85</v>
      </c>
    </row>
    <row r="7" spans="1:42" ht="15.75" thickBot="1" x14ac:dyDescent="0.3">
      <c r="A7" s="33" t="s">
        <v>130</v>
      </c>
      <c r="C7" s="34"/>
      <c r="D7" s="49" t="s">
        <v>102</v>
      </c>
      <c r="E7" s="49" t="s">
        <v>101</v>
      </c>
      <c r="F7" s="49"/>
      <c r="G7" s="49"/>
      <c r="H7" s="65" t="s">
        <v>101</v>
      </c>
      <c r="I7" s="65" t="s">
        <v>101</v>
      </c>
      <c r="J7" s="49"/>
      <c r="K7" s="49"/>
      <c r="L7" s="49"/>
      <c r="N7" s="539" t="s">
        <v>419</v>
      </c>
      <c r="O7" s="539"/>
      <c r="P7" s="539"/>
      <c r="Q7" s="539"/>
      <c r="R7" s="539"/>
      <c r="S7" s="539"/>
      <c r="T7" s="539"/>
      <c r="U7" s="539"/>
      <c r="V7" s="539"/>
      <c r="W7" s="539"/>
      <c r="X7" s="557" t="s">
        <v>420</v>
      </c>
      <c r="Y7" s="549"/>
      <c r="Z7" s="549"/>
      <c r="AA7" s="549"/>
      <c r="AB7" s="549"/>
      <c r="AC7" s="549"/>
      <c r="AD7" s="549"/>
      <c r="AE7" s="549"/>
      <c r="AF7" s="558" t="s">
        <v>421</v>
      </c>
      <c r="AG7" s="548"/>
      <c r="AH7" s="548"/>
      <c r="AI7" s="548"/>
      <c r="AJ7" s="548"/>
      <c r="AK7" s="548"/>
      <c r="AL7" s="548"/>
      <c r="AM7" s="548"/>
      <c r="AN7" s="53"/>
    </row>
    <row r="8" spans="1:42" ht="60" x14ac:dyDescent="0.25">
      <c r="A8" s="35" t="s">
        <v>62</v>
      </c>
      <c r="B8" s="35" t="s">
        <v>63</v>
      </c>
      <c r="C8" s="51" t="s">
        <v>64</v>
      </c>
      <c r="D8" s="51" t="s">
        <v>138</v>
      </c>
      <c r="E8" s="51" t="s">
        <v>404</v>
      </c>
      <c r="F8" s="51" t="s">
        <v>65</v>
      </c>
      <c r="G8" s="51" t="s">
        <v>66</v>
      </c>
      <c r="H8" s="513" t="s">
        <v>67</v>
      </c>
      <c r="I8" s="513" t="s">
        <v>68</v>
      </c>
      <c r="J8" s="51" t="s">
        <v>69</v>
      </c>
      <c r="K8" s="51" t="s">
        <v>408</v>
      </c>
      <c r="L8" s="51" t="s">
        <v>409</v>
      </c>
      <c r="M8" s="53"/>
      <c r="N8" s="45" t="s">
        <v>418</v>
      </c>
      <c r="O8" s="45" t="s">
        <v>258</v>
      </c>
      <c r="P8" s="45" t="s">
        <v>260</v>
      </c>
      <c r="Q8" s="45" t="s">
        <v>263</v>
      </c>
      <c r="R8" s="45" t="s">
        <v>134</v>
      </c>
      <c r="S8" s="45" t="s">
        <v>259</v>
      </c>
      <c r="T8" s="45" t="s">
        <v>261</v>
      </c>
      <c r="U8" s="45" t="s">
        <v>264</v>
      </c>
      <c r="V8" s="540" t="s">
        <v>422</v>
      </c>
      <c r="W8" s="541" t="s">
        <v>423</v>
      </c>
      <c r="X8" s="45" t="s">
        <v>266</v>
      </c>
      <c r="Y8" s="45" t="s">
        <v>363</v>
      </c>
      <c r="Z8" s="45" t="s">
        <v>365</v>
      </c>
      <c r="AA8" s="45" t="s">
        <v>267</v>
      </c>
      <c r="AB8" s="45" t="s">
        <v>363</v>
      </c>
      <c r="AC8" s="45" t="s">
        <v>366</v>
      </c>
      <c r="AD8" s="540" t="s">
        <v>428</v>
      </c>
      <c r="AE8" s="541" t="s">
        <v>429</v>
      </c>
      <c r="AF8" s="45" t="s">
        <v>266</v>
      </c>
      <c r="AG8" s="45" t="s">
        <v>363</v>
      </c>
      <c r="AH8" s="45" t="s">
        <v>424</v>
      </c>
      <c r="AI8" s="45" t="s">
        <v>267</v>
      </c>
      <c r="AJ8" s="45" t="s">
        <v>363</v>
      </c>
      <c r="AK8" s="45" t="s">
        <v>425</v>
      </c>
      <c r="AL8" s="540" t="s">
        <v>426</v>
      </c>
      <c r="AM8" s="541" t="s">
        <v>427</v>
      </c>
      <c r="AN8" s="553"/>
      <c r="AO8" s="45" t="s">
        <v>361</v>
      </c>
      <c r="AP8" s="45" t="s">
        <v>362</v>
      </c>
    </row>
    <row r="9" spans="1:42" x14ac:dyDescent="0.25">
      <c r="A9">
        <f>1</f>
        <v>1</v>
      </c>
      <c r="B9" t="s">
        <v>70</v>
      </c>
      <c r="C9" s="36" t="s">
        <v>99</v>
      </c>
      <c r="D9" s="284">
        <f>'Reference VO 2017'!K5</f>
        <v>381.59447</v>
      </c>
      <c r="E9" s="46">
        <f>'Reference VO 2017'!L5</f>
        <v>17377622</v>
      </c>
      <c r="F9" s="262">
        <f>E9/SUM($E$9:$E$18)</f>
        <v>0.12168098493972147</v>
      </c>
      <c r="G9" s="262">
        <f>D9*F9</f>
        <v>46.432790957150999</v>
      </c>
      <c r="H9" s="46">
        <f>SUMIFS('Reference VO 2017'!$F$5:$F$34,'Reference VO 2017'!$B$5:$B$34,"Entry",'Reference VO 2017'!$D$5:$D$34,$B9,'Reference VO 2017'!$C$5:$C$34,H$6)*GCV*1000</f>
        <v>0</v>
      </c>
      <c r="I9" s="46">
        <f>SUMIFS('Reference VO 2017'!$F$5:$F$34,'Reference VO 2017'!$B$5:$B$34,"Entry",'Reference VO 2017'!$D$5:$D$34,$B9,'Reference VO 2017'!$C$5:$C$34,I$6)*GCV*1000</f>
        <v>531334.7699999999</v>
      </c>
      <c r="J9" s="52">
        <f>SUMIF($B$22,C9,$E$22)</f>
        <v>1</v>
      </c>
      <c r="K9" s="284">
        <f>'Reference VO 2017'!M5</f>
        <v>1.3</v>
      </c>
      <c r="L9" s="284">
        <f>'Reference VO 2017'!N5</f>
        <v>0.62</v>
      </c>
      <c r="M9" s="53"/>
      <c r="N9" s="52">
        <v>1</v>
      </c>
      <c r="O9" s="262">
        <f>N9*$J9*$C$27+VTPB_NICT!Q9</f>
        <v>1.0905127053536716</v>
      </c>
      <c r="P9" s="263">
        <f t="shared" ref="P9:P17" si="0">IF(K9=0,0,IF(O9&gt;(1+max_increase)*$K9,1,0))</f>
        <v>0</v>
      </c>
      <c r="Q9" s="262">
        <f>(1-P9)*O9+P9*(1+max_increase)*K9</f>
        <v>1.0905127053536716</v>
      </c>
      <c r="R9" s="52">
        <f>1-discount_DZK</f>
        <v>0.9</v>
      </c>
      <c r="S9" s="284">
        <f>O9*R9</f>
        <v>0.9814614348183045</v>
      </c>
      <c r="T9" s="263">
        <f>IF(L9=0,0,IF(S9&gt;(1+max_increase)*$L9,1,0))</f>
        <v>1</v>
      </c>
      <c r="U9" s="262">
        <f>(1-T9)*S9+T9*(1+max_increase)*L9</f>
        <v>0.68200000000000005</v>
      </c>
      <c r="V9" s="542">
        <f t="shared" ref="V9:V18" si="1">((1-P9)*$S$63+P9)*Q9</f>
        <v>1.2267523329727597</v>
      </c>
      <c r="W9" s="543">
        <f>((1-T9)*$S$63+T9)*U9</f>
        <v>0.68200000000000005</v>
      </c>
      <c r="X9" s="263">
        <f t="shared" ref="X9:X18" si="2">IF(K9=0,0,IF(V9&gt;(1+max_increase)*$K9,1,0))</f>
        <v>0</v>
      </c>
      <c r="Y9" s="263">
        <f>IF(X9+P9&gt;0,1,0)</f>
        <v>0</v>
      </c>
      <c r="Z9" s="378">
        <f t="shared" ref="Z9:Z18" si="3">IF(X9=1,K9*(1+max_increase),V9)</f>
        <v>1.2267523329727597</v>
      </c>
      <c r="AA9" s="263">
        <f t="shared" ref="AA9:AA18" si="4">IF(L9=0,0,IF(W9&gt;(1+max_increase)*$L9,1,0))</f>
        <v>0</v>
      </c>
      <c r="AB9" s="263">
        <f>IF(AA9+T9&gt;0,1,0)</f>
        <v>1</v>
      </c>
      <c r="AC9" s="377">
        <f>IF(AA9=1,L9*(1+max_increase),W9)</f>
        <v>0.68200000000000005</v>
      </c>
      <c r="AD9" s="550">
        <f t="shared" ref="AD9:AD18" si="5">IF(Y9=0,Z9*$AB$63,K9*(1+max_increase))</f>
        <v>1.4536723300239476</v>
      </c>
      <c r="AE9" s="551">
        <f>IF(AB9=0,W9*$AB$63,L9*(1+max_increase))</f>
        <v>0.68200000000000005</v>
      </c>
      <c r="AF9" s="263">
        <f>IF(S9=0,0,IF(AD9&gt;(1+max_increase)*$K9,1,0))</f>
        <v>1</v>
      </c>
      <c r="AG9" s="263">
        <f>IF(Y9+AF9&gt;0,1,0)</f>
        <v>1</v>
      </c>
      <c r="AH9" s="377">
        <f t="shared" ref="AH9:AH18" si="6">IF(AF9=1,K9*(1+max_increase),AD9)</f>
        <v>1.4300000000000002</v>
      </c>
      <c r="AI9" s="263">
        <f t="shared" ref="AI9:AI18" si="7">IF(T9=0,0,IF(AE9&gt;(1+max_increase)*$L9,1,0))</f>
        <v>0</v>
      </c>
      <c r="AJ9" s="263">
        <f>IF(AB9+AI9&gt;0,1,0)</f>
        <v>1</v>
      </c>
      <c r="AK9" s="377">
        <f>IF(AI9=1,T9*(1+max_increase),AE9)</f>
        <v>0.68200000000000005</v>
      </c>
      <c r="AL9" s="550">
        <f t="shared" ref="AL9:AL18" si="8">IF(AG9=0,AH9*$AJ$63,K9*(1+max_increase))</f>
        <v>1.4300000000000002</v>
      </c>
      <c r="AM9" s="551">
        <f>IF(AJ9=0,AE9*$AJ$63,L9*(1+max_increase))</f>
        <v>0.68200000000000005</v>
      </c>
      <c r="AN9" s="554"/>
      <c r="AO9" s="374">
        <f>IFERROR(MAX(AL9-VTPB_NICT!Q9,0),0)</f>
        <v>1.1859664125937974</v>
      </c>
      <c r="AP9" s="374">
        <f>IFERROR(MAX(AM9-VTPB_NICT!R9,0),0)</f>
        <v>0.46236977133441759</v>
      </c>
    </row>
    <row r="10" spans="1:42" x14ac:dyDescent="0.25">
      <c r="A10">
        <f>A9+1</f>
        <v>2</v>
      </c>
      <c r="B10" t="s">
        <v>72</v>
      </c>
      <c r="C10" s="36" t="s">
        <v>99</v>
      </c>
      <c r="D10" s="284">
        <f>'Reference VO 2017'!K6</f>
        <v>0</v>
      </c>
      <c r="E10" s="46">
        <f>'Reference VO 2017'!L6</f>
        <v>96080396</v>
      </c>
      <c r="F10" s="262">
        <f>E10/SUM($E$9:$E$18)</f>
        <v>0.67277083243486802</v>
      </c>
      <c r="G10" s="262">
        <f>D10*F10</f>
        <v>0</v>
      </c>
      <c r="H10" s="46">
        <f>SUMIFS('Reference VO 2017'!$F$5:$F$34,'Reference VO 2017'!$B$5:$B$34,"Entry",'Reference VO 2017'!$D$5:$D$34,$B10,'Reference VO 2017'!$C$5:$C$34,H$6)*GCV*1000</f>
        <v>81872004.269999996</v>
      </c>
      <c r="I10" s="46">
        <f>SUMIFS('Reference VO 2017'!$F$5:$F$34,'Reference VO 2017'!$B$5:$B$34,"Entry",'Reference VO 2017'!$D$5:$D$34,$B10,'Reference VO 2017'!$C$5:$C$34,I$6)*GCV*1000</f>
        <v>0</v>
      </c>
      <c r="J10" s="52">
        <f t="shared" ref="J10:J18" si="9">SUMIF($B$22,C10,$E$22)</f>
        <v>1</v>
      </c>
      <c r="K10" s="284">
        <f>'Reference VO 2017'!M6</f>
        <v>0.77</v>
      </c>
      <c r="L10" s="284">
        <f>'Reference VO 2017'!N6</f>
        <v>0</v>
      </c>
      <c r="M10" s="53"/>
      <c r="N10" s="52">
        <v>1</v>
      </c>
      <c r="O10" s="262">
        <f>N10*$J10*$C$27+VTPB_NICT!Q10</f>
        <v>1.0905127053536716</v>
      </c>
      <c r="P10" s="263">
        <f t="shared" si="0"/>
        <v>1</v>
      </c>
      <c r="Q10" s="262">
        <f t="shared" ref="Q10:Q18" si="10">(1-P10)*O10+P10*(1+max_increase)*K10</f>
        <v>0.84700000000000009</v>
      </c>
      <c r="R10" s="52">
        <f>1-discount_DZK</f>
        <v>0.9</v>
      </c>
      <c r="S10" s="284">
        <f t="shared" ref="S10:S18" si="11">O10*R10</f>
        <v>0.9814614348183045</v>
      </c>
      <c r="T10" s="263">
        <f>P10</f>
        <v>1</v>
      </c>
      <c r="U10" s="262">
        <f>Q10*(1-discount_DZK)</f>
        <v>0.76230000000000009</v>
      </c>
      <c r="V10" s="542">
        <f t="shared" si="1"/>
        <v>0.84700000000000009</v>
      </c>
      <c r="W10" s="543">
        <f t="shared" ref="W10:W18" si="12">V10*R10</f>
        <v>0.76230000000000009</v>
      </c>
      <c r="X10" s="263">
        <f t="shared" si="2"/>
        <v>0</v>
      </c>
      <c r="Y10" s="263">
        <f>IF(X10+P10&gt;0,1,0)</f>
        <v>1</v>
      </c>
      <c r="Z10" s="377">
        <f t="shared" si="3"/>
        <v>0.84700000000000009</v>
      </c>
      <c r="AA10" s="263">
        <f t="shared" si="4"/>
        <v>0</v>
      </c>
      <c r="AB10" s="263">
        <f>Y10</f>
        <v>1</v>
      </c>
      <c r="AC10" s="377">
        <f t="shared" ref="AC10:AC18" si="13">Z10*R10</f>
        <v>0.76230000000000009</v>
      </c>
      <c r="AD10" s="550">
        <f t="shared" si="5"/>
        <v>0.84700000000000009</v>
      </c>
      <c r="AE10" s="552">
        <f>AD10*R10</f>
        <v>0.76230000000000009</v>
      </c>
      <c r="AF10" s="263">
        <f t="shared" ref="AF10:AF17" si="14">IF(S10=0,0,IF(AD10&gt;(1+max_increase)*$K10,1,0))</f>
        <v>0</v>
      </c>
      <c r="AG10" s="263">
        <f t="shared" ref="AG10:AG18" si="15">IF(Y10+AF10&gt;0,1,0)</f>
        <v>1</v>
      </c>
      <c r="AH10" s="377">
        <f t="shared" si="6"/>
        <v>0.84700000000000009</v>
      </c>
      <c r="AI10" s="263">
        <f t="shared" si="7"/>
        <v>1</v>
      </c>
      <c r="AJ10" s="263">
        <f>AG10</f>
        <v>1</v>
      </c>
      <c r="AK10" s="377">
        <f>AH10*R10</f>
        <v>0.76230000000000009</v>
      </c>
      <c r="AL10" s="550">
        <f t="shared" si="8"/>
        <v>0.84700000000000009</v>
      </c>
      <c r="AM10" s="552">
        <f>AL10*R10</f>
        <v>0.76230000000000009</v>
      </c>
      <c r="AN10" s="555"/>
      <c r="AO10" s="374">
        <f>IFERROR(MAX(AL10-VTPB_NICT!Q10,0),0)</f>
        <v>0.60296641259379735</v>
      </c>
      <c r="AP10" s="374">
        <f>IFERROR(MAX(AM10-VTPB_NICT!R10,0),0)</f>
        <v>0.54266977133441763</v>
      </c>
    </row>
    <row r="11" spans="1:42" x14ac:dyDescent="0.25">
      <c r="A11">
        <f t="shared" ref="A11:A12" si="16">A10+1</f>
        <v>3</v>
      </c>
      <c r="B11" t="s">
        <v>73</v>
      </c>
      <c r="C11" s="36" t="s">
        <v>99</v>
      </c>
      <c r="D11" s="284">
        <f>'Reference VO 2017'!K7</f>
        <v>242</v>
      </c>
      <c r="E11" s="46">
        <f>'Reference VO 2017'!L7</f>
        <v>10349306</v>
      </c>
      <c r="F11" s="262">
        <f t="shared" ref="F11:F15" si="17">E11/SUM($E$9:$E$18)</f>
        <v>7.2467553243048391E-2</v>
      </c>
      <c r="G11" s="262">
        <f t="shared" ref="G11:G12" si="18">D11*F11</f>
        <v>17.53714788481771</v>
      </c>
      <c r="H11" s="46">
        <f>SUMIFS('Reference VO 2017'!$F$5:$F$34,'Reference VO 2017'!$B$5:$B$34,"Entry",'Reference VO 2017'!$D$5:$D$34,$B11,'Reference VO 2017'!$C$5:$C$34,H$6)*GCV*1000</f>
        <v>9651005.7300000004</v>
      </c>
      <c r="I11" s="46">
        <f>SUMIFS('Reference VO 2017'!$F$5:$F$34,'Reference VO 2017'!$B$5:$B$34,"Entry",'Reference VO 2017'!$D$5:$D$34,$B11,'Reference VO 2017'!$C$5:$C$34,I$6)*GCV*1000</f>
        <v>0</v>
      </c>
      <c r="J11" s="52">
        <f t="shared" si="9"/>
        <v>1</v>
      </c>
      <c r="K11" s="284">
        <f>'Reference VO 2017'!M7</f>
        <v>1.3</v>
      </c>
      <c r="L11" s="284">
        <f>'Reference VO 2017'!N7</f>
        <v>0</v>
      </c>
      <c r="M11" s="53"/>
      <c r="N11" s="52">
        <v>1</v>
      </c>
      <c r="O11" s="262">
        <f>N11*$J11*$C$27+VTPB_NICT!Q11</f>
        <v>1.0905127053536716</v>
      </c>
      <c r="P11" s="263">
        <f t="shared" si="0"/>
        <v>0</v>
      </c>
      <c r="Q11" s="262">
        <f t="shared" si="10"/>
        <v>1.0905127053536716</v>
      </c>
      <c r="R11" s="52">
        <f>1-discount_DZK</f>
        <v>0.9</v>
      </c>
      <c r="S11" s="284">
        <f t="shared" si="11"/>
        <v>0.9814614348183045</v>
      </c>
      <c r="T11" s="263">
        <f t="shared" ref="T11:T18" si="19">P11</f>
        <v>0</v>
      </c>
      <c r="U11" s="262">
        <f>Q11*(1-discount_DZK)</f>
        <v>0.9814614348183045</v>
      </c>
      <c r="V11" s="542">
        <f>((1-P11)*$S$63+P11)*Q11</f>
        <v>1.2267523329727597</v>
      </c>
      <c r="W11" s="543">
        <f t="shared" si="12"/>
        <v>1.1040770996754836</v>
      </c>
      <c r="X11" s="263">
        <f t="shared" si="2"/>
        <v>0</v>
      </c>
      <c r="Y11" s="263">
        <f t="shared" ref="Y11:Y18" si="20">IF(X11+P11&gt;0,1,0)</f>
        <v>0</v>
      </c>
      <c r="Z11" s="377">
        <f t="shared" si="3"/>
        <v>1.2267523329727597</v>
      </c>
      <c r="AA11" s="263">
        <f t="shared" si="4"/>
        <v>0</v>
      </c>
      <c r="AB11" s="263">
        <f t="shared" ref="AB11:AB18" si="21">Y11</f>
        <v>0</v>
      </c>
      <c r="AC11" s="377">
        <f t="shared" si="13"/>
        <v>1.1040770996754836</v>
      </c>
      <c r="AD11" s="550">
        <f>IF(Y11=0,Z11*$AB$63,K11*(1+max_increase))</f>
        <v>1.4536723300239476</v>
      </c>
      <c r="AE11" s="552">
        <f t="shared" ref="AE11:AE18" si="22">AD11*R11</f>
        <v>1.3083050970215528</v>
      </c>
      <c r="AF11" s="263">
        <f t="shared" si="14"/>
        <v>1</v>
      </c>
      <c r="AG11" s="263">
        <f t="shared" si="15"/>
        <v>1</v>
      </c>
      <c r="AH11" s="377">
        <f t="shared" si="6"/>
        <v>1.4300000000000002</v>
      </c>
      <c r="AI11" s="263">
        <f t="shared" si="7"/>
        <v>0</v>
      </c>
      <c r="AJ11" s="263">
        <f t="shared" ref="AJ11:AJ18" si="23">AG11</f>
        <v>1</v>
      </c>
      <c r="AK11" s="377">
        <f t="shared" ref="AK11:AK18" si="24">AH11*R11</f>
        <v>1.2870000000000001</v>
      </c>
      <c r="AL11" s="550">
        <f t="shared" si="8"/>
        <v>1.4300000000000002</v>
      </c>
      <c r="AM11" s="552">
        <f t="shared" ref="AM11:AM18" si="25">AL11*R11</f>
        <v>1.2870000000000001</v>
      </c>
      <c r="AN11" s="555"/>
      <c r="AO11" s="374">
        <f>IFERROR(MAX(AL11-VTPB_NICT!Q11,0),0)</f>
        <v>1.1859664125937974</v>
      </c>
      <c r="AP11" s="374">
        <f>IFERROR(MAX(AM11-VTPB_NICT!R11,0),0)</f>
        <v>1.0673697713344177</v>
      </c>
    </row>
    <row r="12" spans="1:42" x14ac:dyDescent="0.25">
      <c r="A12">
        <f t="shared" si="16"/>
        <v>4</v>
      </c>
      <c r="B12" t="s">
        <v>74</v>
      </c>
      <c r="C12" s="36" t="s">
        <v>99</v>
      </c>
      <c r="D12" s="284">
        <f>'Reference VO 2017'!K8</f>
        <v>337</v>
      </c>
      <c r="E12" s="46">
        <f>'Reference VO 2017'!L8</f>
        <v>4750155</v>
      </c>
      <c r="F12" s="262">
        <f t="shared" si="17"/>
        <v>3.3261371378451129E-2</v>
      </c>
      <c r="G12" s="262">
        <f t="shared" si="18"/>
        <v>11.209082154538031</v>
      </c>
      <c r="H12" s="46">
        <f>SUMIFS('Reference VO 2017'!$F$5:$F$34,'Reference VO 2017'!$B$5:$B$34,"Entry",'Reference VO 2017'!$D$5:$D$34,$B12,'Reference VO 2017'!$C$5:$C$34,H$6)*GCV*1000</f>
        <v>1393155</v>
      </c>
      <c r="I12" s="46">
        <f>SUMIFS('Reference VO 2017'!$F$5:$F$34,'Reference VO 2017'!$B$5:$B$34,"Entry",'Reference VO 2017'!$D$5:$D$34,$B12,'Reference VO 2017'!$C$5:$C$34,I$6)*GCV*1000</f>
        <v>3357000</v>
      </c>
      <c r="J12" s="52">
        <f t="shared" si="9"/>
        <v>1</v>
      </c>
      <c r="K12" s="284">
        <f>'Reference VO 2017'!M8</f>
        <v>1.3</v>
      </c>
      <c r="L12" s="284">
        <f>'Reference VO 2017'!N8</f>
        <v>1.17</v>
      </c>
      <c r="M12" s="53"/>
      <c r="N12" s="52">
        <v>1</v>
      </c>
      <c r="O12" s="262">
        <f>N12*$J12*$C$27+VTPB_NICT!Q12</f>
        <v>1.0905127053536716</v>
      </c>
      <c r="P12" s="263">
        <f t="shared" si="0"/>
        <v>0</v>
      </c>
      <c r="Q12" s="262">
        <f t="shared" si="10"/>
        <v>1.0905127053536716</v>
      </c>
      <c r="R12" s="52">
        <f>1-discount_DZK</f>
        <v>0.9</v>
      </c>
      <c r="S12" s="284">
        <f t="shared" si="11"/>
        <v>0.9814614348183045</v>
      </c>
      <c r="T12" s="263">
        <f t="shared" si="19"/>
        <v>0</v>
      </c>
      <c r="U12" s="262">
        <f t="shared" ref="U12:U18" si="26">Q12*(1-discount_DZK)</f>
        <v>0.9814614348183045</v>
      </c>
      <c r="V12" s="542">
        <f t="shared" si="1"/>
        <v>1.2267523329727597</v>
      </c>
      <c r="W12" s="543">
        <f t="shared" si="12"/>
        <v>1.1040770996754836</v>
      </c>
      <c r="X12" s="263">
        <f t="shared" si="2"/>
        <v>0</v>
      </c>
      <c r="Y12" s="263">
        <f t="shared" si="20"/>
        <v>0</v>
      </c>
      <c r="Z12" s="377">
        <f t="shared" si="3"/>
        <v>1.2267523329727597</v>
      </c>
      <c r="AA12" s="263">
        <f t="shared" si="4"/>
        <v>0</v>
      </c>
      <c r="AB12" s="263">
        <f t="shared" si="21"/>
        <v>0</v>
      </c>
      <c r="AC12" s="377">
        <f t="shared" si="13"/>
        <v>1.1040770996754836</v>
      </c>
      <c r="AD12" s="550">
        <f t="shared" si="5"/>
        <v>1.4536723300239476</v>
      </c>
      <c r="AE12" s="552">
        <f t="shared" si="22"/>
        <v>1.3083050970215528</v>
      </c>
      <c r="AF12" s="263">
        <f t="shared" si="14"/>
        <v>1</v>
      </c>
      <c r="AG12" s="263">
        <f t="shared" si="15"/>
        <v>1</v>
      </c>
      <c r="AH12" s="377">
        <f t="shared" si="6"/>
        <v>1.4300000000000002</v>
      </c>
      <c r="AI12" s="263">
        <f t="shared" si="7"/>
        <v>0</v>
      </c>
      <c r="AJ12" s="263">
        <f t="shared" si="23"/>
        <v>1</v>
      </c>
      <c r="AK12" s="377">
        <f t="shared" si="24"/>
        <v>1.2870000000000001</v>
      </c>
      <c r="AL12" s="550">
        <f t="shared" si="8"/>
        <v>1.4300000000000002</v>
      </c>
      <c r="AM12" s="552">
        <f t="shared" si="25"/>
        <v>1.2870000000000001</v>
      </c>
      <c r="AN12" s="555"/>
      <c r="AO12" s="374">
        <f>IFERROR(MAX(AL12-VTPB_NICT!Q12,0),0)</f>
        <v>1.1859664125937974</v>
      </c>
      <c r="AP12" s="374">
        <f>IFERROR(MAX(AM12-VTPB_NICT!R12,0),0)</f>
        <v>1.0673697713344177</v>
      </c>
    </row>
    <row r="13" spans="1:42" x14ac:dyDescent="0.25">
      <c r="A13">
        <v>5</v>
      </c>
      <c r="B13" t="s">
        <v>75</v>
      </c>
      <c r="C13" s="36" t="s">
        <v>99</v>
      </c>
      <c r="D13" s="284">
        <f>'Reference VO 2017'!K9</f>
        <v>2</v>
      </c>
      <c r="E13" s="46">
        <f>'Reference VO 2017'!L9</f>
        <v>7273500</v>
      </c>
      <c r="F13" s="262">
        <f t="shared" si="17"/>
        <v>5.0930250638382177E-2</v>
      </c>
      <c r="G13" s="262">
        <f t="shared" ref="G13" si="27">D13*F13</f>
        <v>0.10186050127676435</v>
      </c>
      <c r="H13" s="46">
        <f>SUMIFS('Reference VO 2017'!$F$5:$F$34,'Reference VO 2017'!$B$5:$B$34,"Entry",'Reference VO 2017'!$D$5:$D$34,$B13,'Reference VO 2017'!$C$5:$C$34,H$6)*GCV*1000</f>
        <v>5749392.9999999991</v>
      </c>
      <c r="I13" s="46">
        <f>SUMIFS('Reference VO 2017'!$F$5:$F$34,'Reference VO 2017'!$B$5:$B$34,"Entry",'Reference VO 2017'!$D$5:$D$34,$B13,'Reference VO 2017'!$C$5:$C$34,I$6)*GCV*1000</f>
        <v>0</v>
      </c>
      <c r="J13" s="52">
        <f t="shared" si="9"/>
        <v>1</v>
      </c>
      <c r="K13" s="284">
        <f>'Reference VO 2017'!M9</f>
        <v>0</v>
      </c>
      <c r="L13" s="284">
        <f>'Reference VO 2017'!N9</f>
        <v>0</v>
      </c>
      <c r="M13" s="53"/>
      <c r="N13" s="52">
        <f>(1-discount_storage_entry)</f>
        <v>0</v>
      </c>
      <c r="O13" s="262">
        <f>N13*$J13*$C$27+VTPB_NICT!Q13</f>
        <v>0</v>
      </c>
      <c r="P13" s="263">
        <f t="shared" si="0"/>
        <v>0</v>
      </c>
      <c r="Q13" s="262">
        <f t="shared" si="10"/>
        <v>0</v>
      </c>
      <c r="R13" s="52">
        <f>(1-discount_storage_entry)</f>
        <v>0</v>
      </c>
      <c r="S13" s="284">
        <f t="shared" si="11"/>
        <v>0</v>
      </c>
      <c r="T13" s="263">
        <f t="shared" si="19"/>
        <v>0</v>
      </c>
      <c r="U13" s="262">
        <f t="shared" si="26"/>
        <v>0</v>
      </c>
      <c r="V13" s="542">
        <f t="shared" si="1"/>
        <v>0</v>
      </c>
      <c r="W13" s="543">
        <f t="shared" si="12"/>
        <v>0</v>
      </c>
      <c r="X13" s="263">
        <f t="shared" si="2"/>
        <v>0</v>
      </c>
      <c r="Y13" s="263">
        <f t="shared" si="20"/>
        <v>0</v>
      </c>
      <c r="Z13" s="377">
        <f t="shared" si="3"/>
        <v>0</v>
      </c>
      <c r="AA13" s="263">
        <f t="shared" si="4"/>
        <v>0</v>
      </c>
      <c r="AB13" s="263">
        <f t="shared" si="21"/>
        <v>0</v>
      </c>
      <c r="AC13" s="377">
        <f t="shared" si="13"/>
        <v>0</v>
      </c>
      <c r="AD13" s="550">
        <f t="shared" si="5"/>
        <v>0</v>
      </c>
      <c r="AE13" s="552">
        <f t="shared" si="22"/>
        <v>0</v>
      </c>
      <c r="AF13" s="263">
        <f>IF(S13=0,0,IF(AD13&gt;(1+max_increase)*$K13,1,0))</f>
        <v>0</v>
      </c>
      <c r="AG13" s="263">
        <f t="shared" si="15"/>
        <v>0</v>
      </c>
      <c r="AH13" s="377">
        <f t="shared" si="6"/>
        <v>0</v>
      </c>
      <c r="AI13" s="263">
        <f t="shared" si="7"/>
        <v>0</v>
      </c>
      <c r="AJ13" s="263">
        <f t="shared" si="23"/>
        <v>0</v>
      </c>
      <c r="AK13" s="377">
        <f t="shared" si="24"/>
        <v>0</v>
      </c>
      <c r="AL13" s="550">
        <f t="shared" si="8"/>
        <v>0</v>
      </c>
      <c r="AM13" s="552">
        <f t="shared" si="25"/>
        <v>0</v>
      </c>
      <c r="AN13" s="555"/>
      <c r="AO13" s="374">
        <f>IFERROR(MAX(AL13-VTPB_NICT!Q13,0),0)</f>
        <v>0</v>
      </c>
      <c r="AP13" s="374">
        <f>IFERROR(MAX(AM13-VTPB_NICT!R13,0),0)</f>
        <v>0</v>
      </c>
    </row>
    <row r="14" spans="1:42" x14ac:dyDescent="0.25">
      <c r="A14">
        <v>6</v>
      </c>
      <c r="B14" t="s">
        <v>139</v>
      </c>
      <c r="C14" s="36" t="s">
        <v>99</v>
      </c>
      <c r="D14" s="284">
        <f>'Reference VO 2017'!K10</f>
        <v>334</v>
      </c>
      <c r="E14" s="46">
        <f>'Reference VO 2017'!L10</f>
        <v>2950825</v>
      </c>
      <c r="F14" s="262">
        <f t="shared" si="17"/>
        <v>2.066216496047351E-2</v>
      </c>
      <c r="G14" s="262">
        <f t="shared" ref="G14" si="28">D14*F14</f>
        <v>6.9011630967981521</v>
      </c>
      <c r="H14" s="46">
        <f>SUMIFS('Reference VO 2017'!$F$5:$F$34,'Reference VO 2017'!$B$5:$B$34,"Entry",'Reference VO 2017'!$D$5:$D$34,$B14,'Reference VO 2017'!$C$5:$C$34,H$6)*GCV*1000</f>
        <v>2950825</v>
      </c>
      <c r="I14" s="46">
        <f>SUMIFS('Reference VO 2017'!$F$5:$F$34,'Reference VO 2017'!$B$5:$B$34,"Entry",'Reference VO 2017'!$D$5:$D$34,$B14,'Reference VO 2017'!$C$5:$C$34,I$6)*GCV*1000</f>
        <v>0</v>
      </c>
      <c r="J14" s="52">
        <f>SUMIF($B$22,C14,$E$22)</f>
        <v>1</v>
      </c>
      <c r="K14" s="284">
        <f>'Reference VO 2017'!M10</f>
        <v>0</v>
      </c>
      <c r="L14" s="284">
        <f>'Reference VO 2017'!N10</f>
        <v>0</v>
      </c>
      <c r="M14" s="53"/>
      <c r="N14" s="52">
        <f>(1-discount_storage_entry)</f>
        <v>0</v>
      </c>
      <c r="O14" s="262">
        <f>N14*$J14*$C$27+VTPB_NICT!Q14</f>
        <v>0</v>
      </c>
      <c r="P14" s="263">
        <f t="shared" si="0"/>
        <v>0</v>
      </c>
      <c r="Q14" s="262">
        <f t="shared" si="10"/>
        <v>0</v>
      </c>
      <c r="R14" s="52">
        <f>(1-discount_storage_entry)</f>
        <v>0</v>
      </c>
      <c r="S14" s="284">
        <f t="shared" si="11"/>
        <v>0</v>
      </c>
      <c r="T14" s="263">
        <f t="shared" si="19"/>
        <v>0</v>
      </c>
      <c r="U14" s="262">
        <f t="shared" si="26"/>
        <v>0</v>
      </c>
      <c r="V14" s="542">
        <f t="shared" si="1"/>
        <v>0</v>
      </c>
      <c r="W14" s="543">
        <f t="shared" si="12"/>
        <v>0</v>
      </c>
      <c r="X14" s="263">
        <f t="shared" si="2"/>
        <v>0</v>
      </c>
      <c r="Y14" s="263">
        <f t="shared" si="20"/>
        <v>0</v>
      </c>
      <c r="Z14" s="377">
        <f t="shared" si="3"/>
        <v>0</v>
      </c>
      <c r="AA14" s="263">
        <f t="shared" si="4"/>
        <v>0</v>
      </c>
      <c r="AB14" s="263">
        <f t="shared" si="21"/>
        <v>0</v>
      </c>
      <c r="AC14" s="377">
        <f t="shared" si="13"/>
        <v>0</v>
      </c>
      <c r="AD14" s="550">
        <f t="shared" si="5"/>
        <v>0</v>
      </c>
      <c r="AE14" s="552">
        <f t="shared" si="22"/>
        <v>0</v>
      </c>
      <c r="AF14" s="263">
        <f t="shared" si="14"/>
        <v>0</v>
      </c>
      <c r="AG14" s="263">
        <f t="shared" si="15"/>
        <v>0</v>
      </c>
      <c r="AH14" s="377">
        <f t="shared" si="6"/>
        <v>0</v>
      </c>
      <c r="AI14" s="263">
        <f t="shared" si="7"/>
        <v>0</v>
      </c>
      <c r="AJ14" s="263">
        <f t="shared" si="23"/>
        <v>0</v>
      </c>
      <c r="AK14" s="377">
        <f t="shared" si="24"/>
        <v>0</v>
      </c>
      <c r="AL14" s="550">
        <f t="shared" si="8"/>
        <v>0</v>
      </c>
      <c r="AM14" s="552">
        <f t="shared" si="25"/>
        <v>0</v>
      </c>
      <c r="AN14" s="555"/>
      <c r="AO14" s="374">
        <f>IFERROR(MAX(AL14-VTPB_NICT!Q14,0),0)</f>
        <v>0</v>
      </c>
      <c r="AP14" s="374">
        <f>IFERROR(MAX(AM14-VTPB_NICT!R14,0),0)</f>
        <v>0</v>
      </c>
    </row>
    <row r="15" spans="1:42" x14ac:dyDescent="0.25">
      <c r="A15">
        <v>7</v>
      </c>
      <c r="B15" s="61" t="s">
        <v>110</v>
      </c>
      <c r="C15" s="36" t="s">
        <v>99</v>
      </c>
      <c r="D15" s="284">
        <f>'Reference VO 2017'!K11</f>
        <v>46</v>
      </c>
      <c r="E15" s="46">
        <f>'Reference VO 2017'!L11</f>
        <v>0</v>
      </c>
      <c r="F15" s="262">
        <f t="shared" si="17"/>
        <v>0</v>
      </c>
      <c r="G15" s="262">
        <f t="shared" ref="G15:G18" si="29">D15*F15</f>
        <v>0</v>
      </c>
      <c r="H15" s="46">
        <f>SUMIFS('Reference VO 2017'!$F$5:$F$34,'Reference VO 2017'!$B$5:$B$34,"Entry",'Reference VO 2017'!$D$5:$D$34,$B15,'Reference VO 2017'!$C$5:$C$34,H$6)*GCV*1000</f>
        <v>0</v>
      </c>
      <c r="I15" s="46">
        <f>SUMIFS('Reference VO 2017'!$F$5:$F$34,'Reference VO 2017'!$B$5:$B$34,"Entry",'Reference VO 2017'!$D$5:$D$34,$B15,'Reference VO 2017'!$C$5:$C$34,I$6)*GCV*1000</f>
        <v>0</v>
      </c>
      <c r="J15" s="52">
        <f t="shared" si="9"/>
        <v>1</v>
      </c>
      <c r="K15" s="284">
        <f>'Reference VO 2017'!M11</f>
        <v>0.77</v>
      </c>
      <c r="L15" s="284">
        <f>'Reference VO 2017'!N11</f>
        <v>0</v>
      </c>
      <c r="M15" s="53"/>
      <c r="N15" s="52">
        <v>1</v>
      </c>
      <c r="O15" s="262">
        <f>N15*$J15*$C$27+VTPB_NICT!Q15</f>
        <v>1.0905127053536716</v>
      </c>
      <c r="P15" s="263">
        <f t="shared" si="0"/>
        <v>1</v>
      </c>
      <c r="Q15" s="262">
        <f t="shared" si="10"/>
        <v>0.84700000000000009</v>
      </c>
      <c r="R15" s="52">
        <f>1-discount_DZK</f>
        <v>0.9</v>
      </c>
      <c r="S15" s="284">
        <f t="shared" si="11"/>
        <v>0.9814614348183045</v>
      </c>
      <c r="T15" s="263">
        <f t="shared" si="19"/>
        <v>1</v>
      </c>
      <c r="U15" s="262">
        <f>Q15*(1-discount_DZK)</f>
        <v>0.76230000000000009</v>
      </c>
      <c r="V15" s="542">
        <f t="shared" si="1"/>
        <v>0.84700000000000009</v>
      </c>
      <c r="W15" s="543">
        <f t="shared" si="12"/>
        <v>0.76230000000000009</v>
      </c>
      <c r="X15" s="263">
        <f t="shared" si="2"/>
        <v>0</v>
      </c>
      <c r="Y15" s="263">
        <f t="shared" si="20"/>
        <v>1</v>
      </c>
      <c r="Z15" s="377">
        <f t="shared" si="3"/>
        <v>0.84700000000000009</v>
      </c>
      <c r="AA15" s="263">
        <f t="shared" si="4"/>
        <v>0</v>
      </c>
      <c r="AB15" s="263">
        <f t="shared" si="21"/>
        <v>1</v>
      </c>
      <c r="AC15" s="377">
        <f t="shared" si="13"/>
        <v>0.76230000000000009</v>
      </c>
      <c r="AD15" s="550">
        <f t="shared" si="5"/>
        <v>0.84700000000000009</v>
      </c>
      <c r="AE15" s="552">
        <f t="shared" si="22"/>
        <v>0.76230000000000009</v>
      </c>
      <c r="AF15" s="263">
        <f t="shared" si="14"/>
        <v>0</v>
      </c>
      <c r="AG15" s="263">
        <f t="shared" si="15"/>
        <v>1</v>
      </c>
      <c r="AH15" s="377">
        <f t="shared" si="6"/>
        <v>0.84700000000000009</v>
      </c>
      <c r="AI15" s="263">
        <f t="shared" si="7"/>
        <v>1</v>
      </c>
      <c r="AJ15" s="263">
        <f t="shared" si="23"/>
        <v>1</v>
      </c>
      <c r="AK15" s="377">
        <f t="shared" si="24"/>
        <v>0.76230000000000009</v>
      </c>
      <c r="AL15" s="550">
        <f t="shared" si="8"/>
        <v>0.84700000000000009</v>
      </c>
      <c r="AM15" s="552">
        <f t="shared" si="25"/>
        <v>0.76230000000000009</v>
      </c>
      <c r="AN15" s="555"/>
      <c r="AO15" s="374">
        <f>IFERROR(MAX(AL15-VTPB_NICT!Q15,0),0)</f>
        <v>0.60296641259379735</v>
      </c>
      <c r="AP15" s="374">
        <f>IFERROR(MAX(AM15-VTPB_NICT!R15,0),0)</f>
        <v>0.54266977133441763</v>
      </c>
    </row>
    <row r="16" spans="1:42" x14ac:dyDescent="0.25">
      <c r="A16">
        <v>8</v>
      </c>
      <c r="B16" t="s">
        <v>87</v>
      </c>
      <c r="C16" s="36" t="s">
        <v>99</v>
      </c>
      <c r="D16" s="284">
        <f>'Reference VO 2017'!K12</f>
        <v>238</v>
      </c>
      <c r="E16" s="46">
        <f>'Reference VO 2017'!L12</f>
        <v>0</v>
      </c>
      <c r="F16" s="262">
        <f t="shared" ref="F16:F18" si="30">E16/SUM($E$9:$E$18)</f>
        <v>0</v>
      </c>
      <c r="G16" s="262">
        <f t="shared" si="29"/>
        <v>0</v>
      </c>
      <c r="H16" s="46">
        <f>SUMIFS('Reference VO 2017'!$F$5:$F$34,'Reference VO 2017'!$B$5:$B$34,"Entry",'Reference VO 2017'!$D$5:$D$34,$B16,'Reference VO 2017'!$C$5:$C$34,H$6)*GCV*1000</f>
        <v>0</v>
      </c>
      <c r="I16" s="46">
        <f>SUMIFS('Reference VO 2017'!$F$5:$F$34,'Reference VO 2017'!$B$5:$B$34,"Entry",'Reference VO 2017'!$D$5:$D$34,$B16,'Reference VO 2017'!$C$5:$C$34,I$6)*GCV*1000</f>
        <v>0</v>
      </c>
      <c r="J16" s="52">
        <f t="shared" si="9"/>
        <v>1</v>
      </c>
      <c r="K16" s="284">
        <f>'Reference VO 2017'!M12</f>
        <v>1.1000000000000001</v>
      </c>
      <c r="L16" s="284">
        <f>'Reference VO 2017'!N12</f>
        <v>0</v>
      </c>
      <c r="M16" s="53"/>
      <c r="N16" s="52">
        <v>1</v>
      </c>
      <c r="O16" s="262">
        <f>N16*$J16*$C$27+VTPB_NICT!Q16</f>
        <v>1.0905127053536716</v>
      </c>
      <c r="P16" s="263">
        <f t="shared" si="0"/>
        <v>0</v>
      </c>
      <c r="Q16" s="262">
        <f t="shared" si="10"/>
        <v>1.0905127053536716</v>
      </c>
      <c r="R16" s="52">
        <f>1-discount_DZK</f>
        <v>0.9</v>
      </c>
      <c r="S16" s="284">
        <f t="shared" si="11"/>
        <v>0.9814614348183045</v>
      </c>
      <c r="T16" s="263">
        <f t="shared" si="19"/>
        <v>0</v>
      </c>
      <c r="U16" s="262">
        <f t="shared" si="26"/>
        <v>0.9814614348183045</v>
      </c>
      <c r="V16" s="542">
        <f t="shared" si="1"/>
        <v>1.2267523329727597</v>
      </c>
      <c r="W16" s="543">
        <f t="shared" si="12"/>
        <v>1.1040770996754836</v>
      </c>
      <c r="X16" s="263">
        <f>IF(K16=0,0,IF(V16&gt;(1+max_increase)*$K16,1,0))</f>
        <v>1</v>
      </c>
      <c r="Y16" s="263">
        <f>IF(X16+P16&gt;0,1,0)</f>
        <v>1</v>
      </c>
      <c r="Z16" s="377">
        <f t="shared" si="3"/>
        <v>1.2100000000000002</v>
      </c>
      <c r="AA16" s="263">
        <f t="shared" si="4"/>
        <v>0</v>
      </c>
      <c r="AB16" s="263">
        <f>Y16</f>
        <v>1</v>
      </c>
      <c r="AC16" s="377">
        <f t="shared" si="13"/>
        <v>1.0890000000000002</v>
      </c>
      <c r="AD16" s="550">
        <f t="shared" si="5"/>
        <v>1.2100000000000002</v>
      </c>
      <c r="AE16" s="552">
        <f t="shared" si="22"/>
        <v>1.0890000000000002</v>
      </c>
      <c r="AF16" s="263">
        <f t="shared" si="14"/>
        <v>0</v>
      </c>
      <c r="AG16" s="263">
        <f t="shared" si="15"/>
        <v>1</v>
      </c>
      <c r="AH16" s="377">
        <f t="shared" si="6"/>
        <v>1.2100000000000002</v>
      </c>
      <c r="AI16" s="263">
        <f t="shared" si="7"/>
        <v>0</v>
      </c>
      <c r="AJ16" s="263">
        <f t="shared" si="23"/>
        <v>1</v>
      </c>
      <c r="AK16" s="377">
        <f t="shared" si="24"/>
        <v>1.0890000000000002</v>
      </c>
      <c r="AL16" s="550">
        <f t="shared" si="8"/>
        <v>1.2100000000000002</v>
      </c>
      <c r="AM16" s="552">
        <f t="shared" si="25"/>
        <v>1.0890000000000002</v>
      </c>
      <c r="AN16" s="555"/>
      <c r="AO16" s="374">
        <f>IFERROR(MAX(AL16-VTPB_NICT!Q16,0),0)</f>
        <v>0.96596641259379745</v>
      </c>
      <c r="AP16" s="374">
        <f>IFERROR(MAX(AM16-VTPB_NICT!R16,0),0)</f>
        <v>0.86936977133441773</v>
      </c>
    </row>
    <row r="17" spans="1:42" x14ac:dyDescent="0.25">
      <c r="A17">
        <v>9</v>
      </c>
      <c r="B17" t="s">
        <v>88</v>
      </c>
      <c r="C17" s="36" t="s">
        <v>99</v>
      </c>
      <c r="D17" s="284">
        <f>'Reference VO 2017'!K13</f>
        <v>36</v>
      </c>
      <c r="E17" s="46">
        <f>'Reference VO 2017'!L13</f>
        <v>0</v>
      </c>
      <c r="F17" s="262">
        <f t="shared" si="30"/>
        <v>0</v>
      </c>
      <c r="G17" s="262">
        <f t="shared" ref="G17" si="31">D17*F17</f>
        <v>0</v>
      </c>
      <c r="H17" s="46">
        <f>SUMIFS('Reference VO 2017'!$F$5:$F$34,'Reference VO 2017'!$B$5:$B$34,"Entry",'Reference VO 2017'!$D$5:$D$34,$B17,'Reference VO 2017'!$C$5:$C$34,H$6)*GCV*1000</f>
        <v>0</v>
      </c>
      <c r="I17" s="46">
        <f>SUMIFS('Reference VO 2017'!$F$5:$F$34,'Reference VO 2017'!$B$5:$B$34,"Entry",'Reference VO 2017'!$D$5:$D$34,$B17,'Reference VO 2017'!$C$5:$C$34,I$6)*GCV*1000</f>
        <v>0</v>
      </c>
      <c r="J17" s="52">
        <f t="shared" ref="J17" si="32">SUMIF($B$22,C17,$E$22)</f>
        <v>1</v>
      </c>
      <c r="K17" s="284">
        <f>'Reference VO 2017'!M13</f>
        <v>0.77</v>
      </c>
      <c r="L17" s="284">
        <f>'Reference VO 2017'!N13</f>
        <v>0</v>
      </c>
      <c r="M17" s="53"/>
      <c r="N17" s="52">
        <v>1</v>
      </c>
      <c r="O17" s="262">
        <f>N17*$J17*$C$27+VTPB_NICT!Q17</f>
        <v>1.0905127053536716</v>
      </c>
      <c r="P17" s="263">
        <f t="shared" si="0"/>
        <v>1</v>
      </c>
      <c r="Q17" s="262">
        <f t="shared" si="10"/>
        <v>0.84700000000000009</v>
      </c>
      <c r="R17" s="52">
        <f>1-discount_DZK</f>
        <v>0.9</v>
      </c>
      <c r="S17" s="284">
        <f t="shared" si="11"/>
        <v>0.9814614348183045</v>
      </c>
      <c r="T17" s="263">
        <f t="shared" si="19"/>
        <v>1</v>
      </c>
      <c r="U17" s="262">
        <f t="shared" si="26"/>
        <v>0.76230000000000009</v>
      </c>
      <c r="V17" s="542">
        <f t="shared" si="1"/>
        <v>0.84700000000000009</v>
      </c>
      <c r="W17" s="543">
        <f t="shared" si="12"/>
        <v>0.76230000000000009</v>
      </c>
      <c r="X17" s="263">
        <f t="shared" si="2"/>
        <v>0</v>
      </c>
      <c r="Y17" s="263">
        <f t="shared" si="20"/>
        <v>1</v>
      </c>
      <c r="Z17" s="377">
        <f t="shared" si="3"/>
        <v>0.84700000000000009</v>
      </c>
      <c r="AA17" s="263">
        <f t="shared" si="4"/>
        <v>0</v>
      </c>
      <c r="AB17" s="263">
        <f t="shared" si="21"/>
        <v>1</v>
      </c>
      <c r="AC17" s="377">
        <f t="shared" si="13"/>
        <v>0.76230000000000009</v>
      </c>
      <c r="AD17" s="550">
        <f t="shared" si="5"/>
        <v>0.84700000000000009</v>
      </c>
      <c r="AE17" s="552">
        <f t="shared" si="22"/>
        <v>0.76230000000000009</v>
      </c>
      <c r="AF17" s="263">
        <f t="shared" si="14"/>
        <v>0</v>
      </c>
      <c r="AG17" s="263">
        <f t="shared" si="15"/>
        <v>1</v>
      </c>
      <c r="AH17" s="377">
        <f t="shared" si="6"/>
        <v>0.84700000000000009</v>
      </c>
      <c r="AI17" s="263">
        <f t="shared" si="7"/>
        <v>1</v>
      </c>
      <c r="AJ17" s="263">
        <f t="shared" si="23"/>
        <v>1</v>
      </c>
      <c r="AK17" s="377">
        <f t="shared" si="24"/>
        <v>0.76230000000000009</v>
      </c>
      <c r="AL17" s="550">
        <f t="shared" si="8"/>
        <v>0.84700000000000009</v>
      </c>
      <c r="AM17" s="552">
        <f t="shared" si="25"/>
        <v>0.76230000000000009</v>
      </c>
      <c r="AN17" s="555"/>
      <c r="AO17" s="374">
        <f>IFERROR(MAX(AL17-VTPB_NICT!Q17,0),0)</f>
        <v>0.60296641259379735</v>
      </c>
      <c r="AP17" s="374">
        <f>IFERROR(MAX(AM17-VTPB_NICT!R17,0),0)</f>
        <v>0.54266977133441763</v>
      </c>
    </row>
    <row r="18" spans="1:42" x14ac:dyDescent="0.25">
      <c r="A18">
        <v>10</v>
      </c>
      <c r="B18" t="s">
        <v>89</v>
      </c>
      <c r="C18" s="36" t="s">
        <v>99</v>
      </c>
      <c r="D18" s="284">
        <f>'Reference VO 2017'!K14</f>
        <v>37.275145170465059</v>
      </c>
      <c r="E18" s="46">
        <f>'Reference VO 2017'!L14</f>
        <v>4031159</v>
      </c>
      <c r="F18" s="262">
        <f t="shared" si="30"/>
        <v>2.8226842405055345E-2</v>
      </c>
      <c r="G18" s="262">
        <f t="shared" si="29"/>
        <v>1.052159648352277</v>
      </c>
      <c r="H18" s="46">
        <f>SUMIFS('Reference VO 2017'!$F$5:$F$34,'Reference VO 2017'!$B$5:$B$34,"Entry",'Reference VO 2017'!$D$5:$D$34,$B18,'Reference VO 2017'!$C$5:$C$34,H$6)*GCV*1000</f>
        <v>4031159</v>
      </c>
      <c r="I18" s="46">
        <f>SUMIFS('Reference VO 2017'!$F$5:$F$34,'Reference VO 2017'!$B$5:$B$34,"Entry",'Reference VO 2017'!$D$5:$D$34,$B18,'Reference VO 2017'!$C$5:$C$34,I$6)*GCV*1000</f>
        <v>0</v>
      </c>
      <c r="J18" s="52">
        <f t="shared" si="9"/>
        <v>1</v>
      </c>
      <c r="K18" s="284">
        <f>'Reference VO 2017'!M14</f>
        <v>0</v>
      </c>
      <c r="L18" s="284">
        <f>'Reference VO 2017'!N14</f>
        <v>0</v>
      </c>
      <c r="M18" s="53"/>
      <c r="N18" s="52">
        <v>0</v>
      </c>
      <c r="O18" s="262">
        <f>N18*$J18*$C$27+VTPB_NICT!Q18</f>
        <v>0</v>
      </c>
      <c r="P18" s="263">
        <f>IF(K18=0,0,IF(O18&gt;(1+max_increase)*$K18,1,0))</f>
        <v>0</v>
      </c>
      <c r="Q18" s="262">
        <f t="shared" si="10"/>
        <v>0</v>
      </c>
      <c r="R18" s="52">
        <f>1-discount_DZK</f>
        <v>0.9</v>
      </c>
      <c r="S18" s="284">
        <f t="shared" si="11"/>
        <v>0</v>
      </c>
      <c r="T18" s="263">
        <f t="shared" si="19"/>
        <v>0</v>
      </c>
      <c r="U18" s="262">
        <f t="shared" si="26"/>
        <v>0</v>
      </c>
      <c r="V18" s="542">
        <f t="shared" si="1"/>
        <v>0</v>
      </c>
      <c r="W18" s="543">
        <f t="shared" si="12"/>
        <v>0</v>
      </c>
      <c r="X18" s="263">
        <f t="shared" si="2"/>
        <v>0</v>
      </c>
      <c r="Y18" s="263">
        <f t="shared" si="20"/>
        <v>0</v>
      </c>
      <c r="Z18" s="377">
        <f t="shared" si="3"/>
        <v>0</v>
      </c>
      <c r="AA18" s="263">
        <f t="shared" si="4"/>
        <v>0</v>
      </c>
      <c r="AB18" s="263">
        <f t="shared" si="21"/>
        <v>0</v>
      </c>
      <c r="AC18" s="377">
        <f t="shared" si="13"/>
        <v>0</v>
      </c>
      <c r="AD18" s="550">
        <f t="shared" si="5"/>
        <v>0</v>
      </c>
      <c r="AE18" s="552">
        <f t="shared" si="22"/>
        <v>0</v>
      </c>
      <c r="AF18" s="263">
        <f>IF(S18=0,0,IF(AD18&gt;(1+max_increase)*$K18,1,0))</f>
        <v>0</v>
      </c>
      <c r="AG18" s="263">
        <f t="shared" si="15"/>
        <v>0</v>
      </c>
      <c r="AH18" s="377">
        <f t="shared" si="6"/>
        <v>0</v>
      </c>
      <c r="AI18" s="263">
        <f t="shared" si="7"/>
        <v>0</v>
      </c>
      <c r="AJ18" s="263">
        <f t="shared" si="23"/>
        <v>0</v>
      </c>
      <c r="AK18" s="377">
        <f t="shared" si="24"/>
        <v>0</v>
      </c>
      <c r="AL18" s="550">
        <f t="shared" si="8"/>
        <v>0</v>
      </c>
      <c r="AM18" s="552">
        <f t="shared" si="25"/>
        <v>0</v>
      </c>
      <c r="AN18" s="555"/>
      <c r="AO18" s="374">
        <f>IFERROR(MAX(AL18-VTPB_NICT!Q18,0),0)</f>
        <v>0</v>
      </c>
      <c r="AP18" s="374">
        <f>IFERROR(MAX(AM18-VTPB_NICT!R18,0),0)</f>
        <v>0</v>
      </c>
    </row>
    <row r="19" spans="1:42" x14ac:dyDescent="0.25"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490" t="s">
        <v>262</v>
      </c>
      <c r="Q19" s="514">
        <f>SUMPRODUCT(Q9:Q18,$H9:$H18)</f>
        <v>81389385.212723091</v>
      </c>
      <c r="R19" s="53"/>
      <c r="S19" s="53"/>
      <c r="T19" s="490"/>
      <c r="U19" s="514">
        <f>SUMPRODUCT(U9:U18,$I9:$I18)</f>
        <v>3657136.3498250479</v>
      </c>
      <c r="V19" s="544">
        <f>SUMPRODUCT(V9:V18,H9:H18)</f>
        <v>82894037.557943642</v>
      </c>
      <c r="W19" s="545">
        <f>SUMPRODUCT(W9:W18,I9:I18)</f>
        <v>4068757.1367505984</v>
      </c>
      <c r="X19" s="53"/>
      <c r="Y19" s="53"/>
      <c r="Z19" s="514">
        <f>SUMPRODUCT(Z9:Z18,$H9:$H18)</f>
        <v>82894037.557943642</v>
      </c>
      <c r="AA19" s="514"/>
      <c r="AB19" s="53"/>
      <c r="AC19" s="514">
        <f>SUMPRODUCT(AC9:AC18,$I$9:$I$18)</f>
        <v>4068757.1367505984</v>
      </c>
      <c r="AD19" s="544">
        <f>SUMPRODUCT(AD9:AD18,$H9:$H18)</f>
        <v>85400178.478228092</v>
      </c>
      <c r="AE19" s="545">
        <f>SUMPRODUCT(AE9:AE18,$I$9:$I$18)</f>
        <v>4754350.5238413531</v>
      </c>
      <c r="AF19" s="53"/>
      <c r="AG19" s="53"/>
      <c r="AH19" s="514">
        <f>SUMPRODUCT(AH9:AH18,$H9:$H18)</f>
        <v>85138737.46059002</v>
      </c>
      <c r="AI19" s="514"/>
      <c r="AJ19" s="53"/>
      <c r="AK19" s="514">
        <f>SUMPRODUCT(AK9:AK18,$I$9:$I$18)</f>
        <v>4682829.3131400011</v>
      </c>
      <c r="AL19" s="544">
        <f>SUMPRODUCT(AL9:AL18,$H9:$H18)</f>
        <v>85138737.46059002</v>
      </c>
      <c r="AM19" s="545">
        <f>SUMPRODUCT(AM9:AM18,$I$9:$I$18)</f>
        <v>4682829.3131400011</v>
      </c>
      <c r="AN19" s="556"/>
      <c r="AO19" s="53"/>
      <c r="AP19" s="515"/>
    </row>
    <row r="20" spans="1:42" ht="15.75" thickBot="1" x14ac:dyDescent="0.3">
      <c r="A20" s="33" t="s">
        <v>76</v>
      </c>
      <c r="C20" s="483" t="s">
        <v>101</v>
      </c>
      <c r="D20" s="483" t="s">
        <v>102</v>
      </c>
      <c r="E20" s="53"/>
      <c r="F20" s="53"/>
      <c r="G20" s="53"/>
      <c r="H20" s="46"/>
      <c r="I20" s="46"/>
      <c r="J20" s="53"/>
      <c r="K20" s="53"/>
      <c r="L20" s="53"/>
      <c r="M20" s="53"/>
      <c r="N20" s="53"/>
      <c r="O20" s="53"/>
      <c r="P20" s="53"/>
      <c r="Q20" s="53"/>
      <c r="R20" s="53"/>
      <c r="S20" s="53"/>
      <c r="T20" s="53"/>
      <c r="U20" s="46">
        <f>Q19+U19-C25</f>
        <v>-36056486.532408848</v>
      </c>
      <c r="V20" s="546"/>
      <c r="W20" s="547">
        <f>V19+W19-$C$25</f>
        <v>-34140213.400262758</v>
      </c>
      <c r="X20" s="53"/>
      <c r="Y20" s="53"/>
      <c r="Z20" s="46">
        <f>AC19+Z19-W19-V19</f>
        <v>0</v>
      </c>
      <c r="AA20" s="53"/>
      <c r="AB20" s="53"/>
      <c r="AC20" s="53"/>
      <c r="AD20" s="546"/>
      <c r="AE20" s="547">
        <f>AD19+AE19-$C$25</f>
        <v>-30948479.092887551</v>
      </c>
      <c r="AF20" s="53"/>
      <c r="AG20" s="53"/>
      <c r="AH20" s="46">
        <f>AK19+AH19-AE19-AD19</f>
        <v>-332962.22833941877</v>
      </c>
      <c r="AI20" s="53"/>
      <c r="AJ20" s="53"/>
      <c r="AK20" s="53"/>
      <c r="AL20" s="546"/>
      <c r="AM20" s="547">
        <f>AL19+AM19-$C$25</f>
        <v>-31281441.321226969</v>
      </c>
      <c r="AN20" s="87"/>
      <c r="AO20" s="46"/>
      <c r="AP20" s="53"/>
    </row>
    <row r="21" spans="1:42" ht="45" x14ac:dyDescent="0.25">
      <c r="A21" s="35" t="s">
        <v>62</v>
      </c>
      <c r="B21" s="35" t="s">
        <v>137</v>
      </c>
      <c r="C21" s="44" t="s">
        <v>100</v>
      </c>
      <c r="D21" s="35" t="s">
        <v>77</v>
      </c>
      <c r="E21" s="35" t="s">
        <v>78</v>
      </c>
      <c r="F21" s="35" t="s">
        <v>67</v>
      </c>
      <c r="G21" s="35" t="s">
        <v>68</v>
      </c>
    </row>
    <row r="22" spans="1:42" x14ac:dyDescent="0.25">
      <c r="A22" s="53">
        <v>1</v>
      </c>
      <c r="B22" t="str">
        <f>C9</f>
        <v>Entry MG Ost</v>
      </c>
      <c r="C22" s="31">
        <f>+SUM($E$9:$E$18)</f>
        <v>142812963</v>
      </c>
      <c r="D22" s="50">
        <f>+SUMPRODUCT($D$9:$D$18,$E$9:$E$18)/$C$22</f>
        <v>83.234204242933941</v>
      </c>
      <c r="E22" s="37">
        <f>D22/$D$22</f>
        <v>1</v>
      </c>
      <c r="F22" s="38">
        <f>+SUM(H9:H18)</f>
        <v>105647542</v>
      </c>
      <c r="G22" s="38">
        <f>+SUM(I9:I18)</f>
        <v>3888334.77</v>
      </c>
      <c r="K22" s="40"/>
      <c r="L22" s="31"/>
      <c r="O22" s="39"/>
      <c r="P22" s="39"/>
      <c r="V22" s="264"/>
    </row>
    <row r="23" spans="1:42" x14ac:dyDescent="0.25">
      <c r="C23" s="42"/>
      <c r="D23" s="46"/>
      <c r="E23" s="37"/>
      <c r="F23" s="38"/>
      <c r="G23" s="38"/>
      <c r="K23" s="40"/>
      <c r="L23" s="31"/>
    </row>
    <row r="24" spans="1:42" x14ac:dyDescent="0.25">
      <c r="B24" s="29" t="s">
        <v>403</v>
      </c>
      <c r="C24" s="282">
        <f>SUM(G9:G18)/SUM(G9:G18,G32:G56)</f>
        <v>0.26659110452039447</v>
      </c>
      <c r="D24" s="46"/>
      <c r="F24" s="38"/>
      <c r="G24" s="38"/>
      <c r="K24" s="40"/>
    </row>
    <row r="25" spans="1:42" x14ac:dyDescent="0.25">
      <c r="B25" s="29" t="s">
        <v>384</v>
      </c>
      <c r="C25" s="465">
        <f>EX_split_entry_theor*costs_capacity</f>
        <v>121103008.09495699</v>
      </c>
      <c r="D25" s="46"/>
      <c r="F25" s="38"/>
      <c r="G25" s="38"/>
      <c r="K25" s="40"/>
    </row>
    <row r="26" spans="1:42" x14ac:dyDescent="0.25">
      <c r="A26" s="31"/>
      <c r="B26" s="29" t="s">
        <v>385</v>
      </c>
      <c r="C26" s="465">
        <f>EX_split_entry_theor*N3</f>
        <v>92390692.933232829</v>
      </c>
      <c r="D26" s="42"/>
      <c r="H26" s="245"/>
      <c r="J26" s="37"/>
      <c r="K26" s="40"/>
    </row>
    <row r="27" spans="1:42" x14ac:dyDescent="0.25">
      <c r="A27" s="31"/>
      <c r="B27" s="29" t="s">
        <v>398</v>
      </c>
      <c r="C27" s="67">
        <f>C26/(E22*F22+E22*G22*(1-discount_DZK))</f>
        <v>0.84647911794746877</v>
      </c>
      <c r="E27" s="42"/>
      <c r="J27" s="37"/>
      <c r="K27" s="40"/>
      <c r="L27" s="31"/>
    </row>
    <row r="28" spans="1:42" x14ac:dyDescent="0.25">
      <c r="A28" s="31"/>
      <c r="F28" s="124"/>
      <c r="J28" s="37"/>
      <c r="K28" s="53"/>
      <c r="L28" s="53"/>
      <c r="M28" s="385"/>
      <c r="N28" s="386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</row>
    <row r="29" spans="1:42" x14ac:dyDescent="0.25">
      <c r="B29" s="29"/>
      <c r="H29" s="64" t="s">
        <v>84</v>
      </c>
      <c r="I29" s="64" t="s">
        <v>85</v>
      </c>
      <c r="J29" s="37"/>
      <c r="L29" s="31"/>
    </row>
    <row r="30" spans="1:42" ht="15.75" thickBot="1" x14ac:dyDescent="0.3">
      <c r="A30" s="33" t="s">
        <v>127</v>
      </c>
      <c r="D30" s="49" t="s">
        <v>102</v>
      </c>
      <c r="E30" s="49" t="s">
        <v>101</v>
      </c>
      <c r="G30" s="34"/>
      <c r="H30" s="65" t="s">
        <v>101</v>
      </c>
      <c r="I30" s="65" t="s">
        <v>101</v>
      </c>
      <c r="J30" s="53"/>
    </row>
    <row r="31" spans="1:42" ht="60" x14ac:dyDescent="0.25">
      <c r="A31" s="35" t="s">
        <v>62</v>
      </c>
      <c r="B31" s="35" t="s">
        <v>63</v>
      </c>
      <c r="C31" s="51" t="s">
        <v>64</v>
      </c>
      <c r="D31" s="51" t="s">
        <v>138</v>
      </c>
      <c r="E31" s="51" t="s">
        <v>404</v>
      </c>
      <c r="F31" s="51" t="s">
        <v>65</v>
      </c>
      <c r="G31" s="51" t="s">
        <v>66</v>
      </c>
      <c r="H31" s="513" t="s">
        <v>67</v>
      </c>
      <c r="I31" s="513" t="s">
        <v>68</v>
      </c>
      <c r="J31" s="51" t="s">
        <v>109</v>
      </c>
      <c r="K31" s="51" t="s">
        <v>408</v>
      </c>
      <c r="L31" s="51" t="s">
        <v>409</v>
      </c>
      <c r="M31" s="53"/>
      <c r="N31" s="45" t="str">
        <f>N8</f>
        <v>Correction factor FZK</v>
      </c>
      <c r="O31" s="45" t="str">
        <f t="shared" ref="O31:AP31" si="33">O8</f>
        <v>Theor. tariff FZK</v>
      </c>
      <c r="P31" s="45" t="str">
        <f t="shared" si="33"/>
        <v>FZK tariff capped?</v>
      </c>
      <c r="Q31" s="45" t="str">
        <f t="shared" si="33"/>
        <v>Capped unscaled tariff FZK</v>
      </c>
      <c r="R31" s="45" t="str">
        <f t="shared" si="33"/>
        <v>Correction factor DZK entry</v>
      </c>
      <c r="S31" s="45" t="str">
        <f t="shared" si="33"/>
        <v>Theor. tariff DZK</v>
      </c>
      <c r="T31" s="45" t="str">
        <f t="shared" si="33"/>
        <v>DZK tariff capped?</v>
      </c>
      <c r="U31" s="45" t="str">
        <f t="shared" si="33"/>
        <v>Capped unscaled tariff DZK</v>
      </c>
      <c r="V31" s="540" t="str">
        <f t="shared" si="33"/>
        <v>Rescaled tariff FZK</v>
      </c>
      <c r="W31" s="541" t="str">
        <f t="shared" si="33"/>
        <v>Rescaled tariff DZK</v>
      </c>
      <c r="X31" s="45" t="str">
        <f t="shared" si="33"/>
        <v>FZK cap exceeded new?</v>
      </c>
      <c r="Y31" s="45" t="str">
        <f t="shared" si="33"/>
        <v>Rescaling non-permissible</v>
      </c>
      <c r="Z31" s="45" t="str">
        <f t="shared" si="33"/>
        <v>Recapped rescaled tariff FZK</v>
      </c>
      <c r="AA31" s="45" t="str">
        <f t="shared" si="33"/>
        <v>DZK cap exceeded new?</v>
      </c>
      <c r="AB31" s="45" t="str">
        <f t="shared" si="33"/>
        <v>Rescaling non-permissible</v>
      </c>
      <c r="AC31" s="45" t="str">
        <f t="shared" si="33"/>
        <v>Recapped rescaled tariff DZK</v>
      </c>
      <c r="AD31" s="540" t="str">
        <f t="shared" si="33"/>
        <v>Step 2 rescaled tariff FZK</v>
      </c>
      <c r="AE31" s="541" t="str">
        <f t="shared" si="33"/>
        <v>Step 2 rescaled tariff DZK</v>
      </c>
      <c r="AF31" s="45" t="str">
        <f t="shared" si="33"/>
        <v>FZK cap exceeded new?</v>
      </c>
      <c r="AG31" s="45" t="str">
        <f t="shared" si="33"/>
        <v>Rescaling non-permissible</v>
      </c>
      <c r="AH31" s="45" t="str">
        <f t="shared" si="33"/>
        <v>Recapped re-rescaled tariff FZK</v>
      </c>
      <c r="AI31" s="45" t="str">
        <f t="shared" si="33"/>
        <v>DZK cap exceeded new?</v>
      </c>
      <c r="AJ31" s="45" t="str">
        <f t="shared" si="33"/>
        <v>Rescaling non-permissible</v>
      </c>
      <c r="AK31" s="45" t="str">
        <f t="shared" si="33"/>
        <v>Recapped re-rescaled tariff DZK</v>
      </c>
      <c r="AL31" s="540" t="str">
        <f t="shared" si="33"/>
        <v>Step 3 rescaled tariff FZK</v>
      </c>
      <c r="AM31" s="541" t="str">
        <f t="shared" si="33"/>
        <v>Step 3 rescaled tariff DZK</v>
      </c>
      <c r="AN31" s="45">
        <f t="shared" si="33"/>
        <v>0</v>
      </c>
      <c r="AO31" s="45" t="str">
        <f t="shared" si="33"/>
        <v xml:space="preserve">ICT FZK </v>
      </c>
      <c r="AP31" s="45" t="str">
        <f t="shared" si="33"/>
        <v>ICT DZK</v>
      </c>
    </row>
    <row r="32" spans="1:42" x14ac:dyDescent="0.25">
      <c r="A32">
        <f>1</f>
        <v>1</v>
      </c>
      <c r="B32" t="s">
        <v>70</v>
      </c>
      <c r="C32" s="53" t="s">
        <v>97</v>
      </c>
      <c r="D32" s="86">
        <f>'Reference VO 2017'!K15</f>
        <v>381.59447</v>
      </c>
      <c r="E32" s="87">
        <f>'Reference VO 2017'!L15</f>
        <v>50014969</v>
      </c>
      <c r="F32" s="262">
        <f>E32/SUM($E$32:$E$56)</f>
        <v>0.361425785029721</v>
      </c>
      <c r="G32" s="262">
        <f>D32*F32</f>
        <v>137.91808088275033</v>
      </c>
      <c r="H32" s="46">
        <f>SUMIFS('Reference VO 2017'!$F$5:$F$34,'Reference VO 2017'!$B$5:$B$34,"Exit",'Reference VO 2017'!$D$5:$D$34,$B32,'Reference VO 2017'!$C$5:$C$34,H$6)*GCV*1000</f>
        <v>48558893.100000009</v>
      </c>
      <c r="I32" s="46">
        <f>SUMIFS('Reference VO 2017'!$F$5:$F$34,'Reference VO 2017'!$B$5:$B$34,"Exit",'Reference VO 2017'!$D$5:$D$34,$B32,'Reference VO 2017'!$C$5:$C$34,I$6)*GCV*1000</f>
        <v>0</v>
      </c>
      <c r="J32" s="52">
        <f t="shared" ref="J32:J56" si="34">SUMIF($B$62:$B$68,C32,$E$62:$E$68)</f>
        <v>1</v>
      </c>
      <c r="K32" s="284">
        <f>'Reference VO 2017'!M15</f>
        <v>4.63</v>
      </c>
      <c r="L32" s="284">
        <f>'Reference VO 2017'!N15</f>
        <v>0</v>
      </c>
      <c r="M32" s="53"/>
      <c r="N32" s="52">
        <v>1</v>
      </c>
      <c r="O32" s="262">
        <f>N32*$J32*$C$73+VTPB_NICT!Q32</f>
        <v>4.8375957541326819</v>
      </c>
      <c r="P32" s="263">
        <f>IF(K32=0,0,IF(O32&gt;(1+max_increase)*$K32,1,0))</f>
        <v>0</v>
      </c>
      <c r="Q32" s="262">
        <f>(1-P32)*O32+P32*(1+max_increase)*K32</f>
        <v>4.8375957541326819</v>
      </c>
      <c r="R32" s="52">
        <f t="shared" ref="R32:R56" si="35">1-discount_DZK</f>
        <v>0.9</v>
      </c>
      <c r="S32" s="284">
        <f t="shared" ref="S32:S56" si="36">O32*R32</f>
        <v>4.3538361787194138</v>
      </c>
      <c r="T32" s="263">
        <f>P32</f>
        <v>0</v>
      </c>
      <c r="U32" s="262">
        <f t="shared" ref="U32:U56" si="37">Q32*(1-discount_DZK)</f>
        <v>4.3538361787194138</v>
      </c>
      <c r="V32" s="559">
        <f>((1-P32)*$S$63+P32)*Q32</f>
        <v>5.4419649108413788</v>
      </c>
      <c r="W32" s="560">
        <f>V32*R32</f>
        <v>4.8977684197572406</v>
      </c>
      <c r="X32" s="263">
        <f t="shared" ref="X32:X56" si="38">IF(K32=0,0,IF(V32&gt;(1+max_increase)*$K32,1,0))</f>
        <v>1</v>
      </c>
      <c r="Y32" s="263">
        <f>IF(X32+P32&gt;0,1,0)</f>
        <v>1</v>
      </c>
      <c r="Z32" s="377">
        <f t="shared" ref="Z32:Z56" si="39">IF(X32=1,K32*(1+max_increase),V32)</f>
        <v>5.093</v>
      </c>
      <c r="AA32" s="263">
        <f t="shared" ref="AA32:AA56" si="40">IF(L32=0,0,IF(W32&gt;(1+max_increase)*$L32,1,0))</f>
        <v>0</v>
      </c>
      <c r="AB32" s="263">
        <f>Y32</f>
        <v>1</v>
      </c>
      <c r="AC32" s="377">
        <f>Z32*R32</f>
        <v>4.5837000000000003</v>
      </c>
      <c r="AD32" s="550">
        <f>IF(AB32=0,Z32*$AB$63,K32*(1+max_increase))</f>
        <v>5.093</v>
      </c>
      <c r="AE32" s="552">
        <f>AD32*R32</f>
        <v>4.5837000000000003</v>
      </c>
      <c r="AF32" s="263">
        <f t="shared" ref="AF32:AF56" si="41">IF(S32=0,0,IF(AD32&gt;(1+max_increase)*$K32,1,0))</f>
        <v>0</v>
      </c>
      <c r="AG32" s="263">
        <f>IF(AF32+X32&gt;0,1,0)</f>
        <v>1</v>
      </c>
      <c r="AH32" s="377">
        <f t="shared" ref="AH32:AH56" si="42">IF(AF32=1,S32*(1+max_increase),AD32)</f>
        <v>5.093</v>
      </c>
      <c r="AI32" s="263">
        <f>IF(T32=0,0,IF(AE32&gt;(1+max_increase)*$L32,1,0))</f>
        <v>0</v>
      </c>
      <c r="AJ32" s="263">
        <f>AG32</f>
        <v>1</v>
      </c>
      <c r="AK32" s="377">
        <f>AH32*R32</f>
        <v>4.5837000000000003</v>
      </c>
      <c r="AL32" s="550">
        <f t="shared" ref="AL32:AL56" si="43">IF(AJ32=0,AH32*$AJ$63,K32*(1+max_increase))</f>
        <v>5.093</v>
      </c>
      <c r="AM32" s="552">
        <f>AL32*R32</f>
        <v>4.5837000000000003</v>
      </c>
      <c r="AN32" s="378"/>
      <c r="AO32" s="374">
        <f>IFERROR(MAX(AL32-VTPB_NICT!Q32,0),0)</f>
        <v>3.5654829908973631</v>
      </c>
      <c r="AP32" s="374">
        <f>IFERROR(MAX(AM32-VTPB_NICT!R32,0),0)</f>
        <v>3.2089346918076274</v>
      </c>
    </row>
    <row r="33" spans="1:42" x14ac:dyDescent="0.25">
      <c r="A33">
        <f>A32+1</f>
        <v>2</v>
      </c>
      <c r="B33" s="61" t="s">
        <v>72</v>
      </c>
      <c r="C33" s="55" t="s">
        <v>91</v>
      </c>
      <c r="D33" s="86">
        <f>D36</f>
        <v>242</v>
      </c>
      <c r="E33" s="87">
        <f>'Reference VO 2017'!L16</f>
        <v>10272000</v>
      </c>
      <c r="F33" s="262">
        <f t="shared" ref="F33:F56" si="44">E33/SUM($E$32:$E$56)</f>
        <v>7.4229090571370615E-2</v>
      </c>
      <c r="G33" s="262">
        <f t="shared" ref="G33:G56" si="45">D33*F33</f>
        <v>17.963439918271689</v>
      </c>
      <c r="H33" s="46">
        <f>SUMIFS('Reference VO 2017'!$F$5:$F$34,'Reference VO 2017'!$B$5:$B$34,"Exit",'Reference VO 2017'!$D$5:$D$34,$B33,'Reference VO 2017'!$C$5:$C$34,H$6)*GCV*1000</f>
        <v>5436471.2699999996</v>
      </c>
      <c r="I33" s="46">
        <f>SUMIFS('Reference VO 2017'!$F$5:$F$34,'Reference VO 2017'!$B$5:$B$34,"Exit",'Reference VO 2017'!$D$5:$D$34,$B33,'Reference VO 2017'!$C$5:$C$34,I$6)*GCV*1000</f>
        <v>0</v>
      </c>
      <c r="J33" s="52">
        <f t="shared" si="34"/>
        <v>0.41581601924538891</v>
      </c>
      <c r="K33" s="284">
        <f>'Reference VO 2017'!M16</f>
        <v>1.1200000000000001</v>
      </c>
      <c r="L33" s="284">
        <f>'Reference VO 2017'!N16</f>
        <v>0</v>
      </c>
      <c r="M33" s="53"/>
      <c r="N33" s="52">
        <v>1</v>
      </c>
      <c r="O33" s="262">
        <f>N33*$J33*$C$73+VTPB_NICT!Q33</f>
        <v>1.4459851601239597</v>
      </c>
      <c r="P33" s="263">
        <f>IF(K33=0,0,IF(O33&gt;(1+max_increase)*$K33,1,0))</f>
        <v>1</v>
      </c>
      <c r="Q33" s="262">
        <f>(1-P33)*O33+P33*(1+max_increase)*K33</f>
        <v>1.2320000000000002</v>
      </c>
      <c r="R33" s="52">
        <f t="shared" si="35"/>
        <v>0.9</v>
      </c>
      <c r="S33" s="284">
        <f t="shared" si="36"/>
        <v>1.3013866441115638</v>
      </c>
      <c r="T33" s="263">
        <f t="shared" ref="T33:T56" si="46">P33</f>
        <v>1</v>
      </c>
      <c r="U33" s="262">
        <f>Q33*(1-discount_DZK)</f>
        <v>1.1088000000000002</v>
      </c>
      <c r="V33" s="559">
        <f>((1-P33)*$S$63+P33)*Q33</f>
        <v>1.2320000000000002</v>
      </c>
      <c r="W33" s="560">
        <f t="shared" ref="W33:W56" si="47">V33*R33</f>
        <v>1.1088000000000002</v>
      </c>
      <c r="X33" s="263">
        <f t="shared" si="38"/>
        <v>0</v>
      </c>
      <c r="Y33" s="263">
        <f t="shared" ref="Y33:Y56" si="48">IF(X33+P33&gt;0,1,0)</f>
        <v>1</v>
      </c>
      <c r="Z33" s="377">
        <f t="shared" si="39"/>
        <v>1.2320000000000002</v>
      </c>
      <c r="AA33" s="263">
        <f t="shared" si="40"/>
        <v>0</v>
      </c>
      <c r="AB33" s="263">
        <f t="shared" ref="AB33:AB56" si="49">Y33</f>
        <v>1</v>
      </c>
      <c r="AC33" s="377">
        <f t="shared" ref="AC33:AC56" si="50">Z33*R33</f>
        <v>1.1088000000000002</v>
      </c>
      <c r="AD33" s="550">
        <f>IF(AB33=0,Z33*$AB$63,K33*(1+max_increase))</f>
        <v>1.2320000000000002</v>
      </c>
      <c r="AE33" s="552">
        <f>AD33*R33</f>
        <v>1.1088000000000002</v>
      </c>
      <c r="AF33" s="263">
        <f t="shared" si="41"/>
        <v>0</v>
      </c>
      <c r="AG33" s="263">
        <f t="shared" ref="AG33:AG56" si="51">IF(AF33+X33&gt;0,1,0)</f>
        <v>0</v>
      </c>
      <c r="AH33" s="377">
        <f t="shared" si="42"/>
        <v>1.2320000000000002</v>
      </c>
      <c r="AI33" s="263">
        <f>IF(T33=0,0,IF(AE33&gt;(1+max_increase)*$L33,1,0))</f>
        <v>1</v>
      </c>
      <c r="AJ33" s="263">
        <f t="shared" ref="AJ33:AJ56" si="52">AG33</f>
        <v>0</v>
      </c>
      <c r="AK33" s="377">
        <f>AH33*R33</f>
        <v>1.1088000000000002</v>
      </c>
      <c r="AL33" s="550">
        <f t="shared" si="43"/>
        <v>1.2355788651288975</v>
      </c>
      <c r="AM33" s="552">
        <f t="shared" ref="AM33:AM56" si="53">AL33*R33</f>
        <v>1.1120209786160078</v>
      </c>
      <c r="AN33" s="378"/>
      <c r="AO33" s="374">
        <f>IFERROR(MAX(AL33-VTPB_NICT!Q33,0),0)</f>
        <v>1.1659774721521035</v>
      </c>
      <c r="AP33" s="374">
        <f>IFERROR(MAX(AM33-VTPB_NICT!R33,0),0)</f>
        <v>1.0493797249368932</v>
      </c>
    </row>
    <row r="34" spans="1:42" x14ac:dyDescent="0.25">
      <c r="A34">
        <f>A33+1</f>
        <v>3</v>
      </c>
      <c r="B34" s="61" t="s">
        <v>110</v>
      </c>
      <c r="C34" s="55" t="s">
        <v>91</v>
      </c>
      <c r="D34" s="86">
        <f>'Reference VO 2017'!K17</f>
        <v>46</v>
      </c>
      <c r="E34" s="87">
        <f>'Reference VO 2017'!L17</f>
        <v>6378300</v>
      </c>
      <c r="F34" s="262">
        <f t="shared" si="44"/>
        <v>4.6091842717228701E-2</v>
      </c>
      <c r="G34" s="262">
        <f t="shared" si="45"/>
        <v>2.1202247649925203</v>
      </c>
      <c r="H34" s="46">
        <f>SUMIFS('Reference VO 2017'!$F$5:$F$34,'Reference VO 2017'!$B$5:$B$34,"Exit",'Reference VO 2017'!$D$5:$D$34,$B34,'Reference VO 2017'!$C$5:$C$34,H$6)*GCV*1000</f>
        <v>6378299.9999999991</v>
      </c>
      <c r="I34" s="46">
        <f>SUMIFS('Reference VO 2017'!$F$5:$F$34,'Reference VO 2017'!$B$5:$B$34,"Exit",'Reference VO 2017'!$D$5:$D$34,$B34,'Reference VO 2017'!$C$5:$C$34,I$6)*GCV*1000</f>
        <v>0</v>
      </c>
      <c r="J34" s="52">
        <f t="shared" si="34"/>
        <v>0.41581601924538891</v>
      </c>
      <c r="K34" s="284">
        <f>'Reference VO 2017'!M17</f>
        <v>1.1200000000000001</v>
      </c>
      <c r="L34" s="284">
        <f>'Reference VO 2017'!N17</f>
        <v>0</v>
      </c>
      <c r="M34" s="53"/>
      <c r="N34" s="52">
        <v>1</v>
      </c>
      <c r="O34" s="262">
        <f>N34*$J34*$C$73+VTPB_NICT!Q34</f>
        <v>1.4459851601239597</v>
      </c>
      <c r="P34" s="263">
        <f>IF(K34=0,0,IF(O34&gt;(1+max_increase)*$K34,1,0))</f>
        <v>1</v>
      </c>
      <c r="Q34" s="262">
        <f>(1-P34)*O34+P34*(1+max_increase)*K34</f>
        <v>1.2320000000000002</v>
      </c>
      <c r="R34" s="52">
        <f t="shared" si="35"/>
        <v>0.9</v>
      </c>
      <c r="S34" s="284">
        <f t="shared" si="36"/>
        <v>1.3013866441115638</v>
      </c>
      <c r="T34" s="263">
        <f t="shared" si="46"/>
        <v>1</v>
      </c>
      <c r="U34" s="262">
        <f t="shared" si="37"/>
        <v>1.1088000000000002</v>
      </c>
      <c r="V34" s="559">
        <f>((1-P34)*$S$63+P34)*Q34</f>
        <v>1.2320000000000002</v>
      </c>
      <c r="W34" s="560">
        <f t="shared" si="47"/>
        <v>1.1088000000000002</v>
      </c>
      <c r="X34" s="263">
        <f t="shared" si="38"/>
        <v>0</v>
      </c>
      <c r="Y34" s="263">
        <f t="shared" si="48"/>
        <v>1</v>
      </c>
      <c r="Z34" s="377">
        <f t="shared" si="39"/>
        <v>1.2320000000000002</v>
      </c>
      <c r="AA34" s="263">
        <f t="shared" si="40"/>
        <v>0</v>
      </c>
      <c r="AB34" s="263">
        <f t="shared" si="49"/>
        <v>1</v>
      </c>
      <c r="AC34" s="377">
        <f t="shared" si="50"/>
        <v>1.1088000000000002</v>
      </c>
      <c r="AD34" s="550">
        <f>IF(AB34=0,Z34*$AB$63,K34*(1+max_increase))</f>
        <v>1.2320000000000002</v>
      </c>
      <c r="AE34" s="552">
        <f t="shared" ref="AE34:AE56" si="54">AD34*R34</f>
        <v>1.1088000000000002</v>
      </c>
      <c r="AF34" s="263">
        <f t="shared" si="41"/>
        <v>0</v>
      </c>
      <c r="AG34" s="263">
        <f t="shared" si="51"/>
        <v>0</v>
      </c>
      <c r="AH34" s="377">
        <f t="shared" si="42"/>
        <v>1.2320000000000002</v>
      </c>
      <c r="AI34" s="263">
        <f t="shared" ref="AI34:AI56" si="55">IF(T34=0,0,IF(AE34&gt;(1+max_increase)*$L34,1,0))</f>
        <v>1</v>
      </c>
      <c r="AJ34" s="263">
        <f t="shared" si="52"/>
        <v>0</v>
      </c>
      <c r="AK34" s="377">
        <f t="shared" ref="AK34:AK56" si="56">AH34*R34</f>
        <v>1.1088000000000002</v>
      </c>
      <c r="AL34" s="550">
        <f t="shared" si="43"/>
        <v>1.2355788651288975</v>
      </c>
      <c r="AM34" s="552">
        <f t="shared" si="53"/>
        <v>1.1120209786160078</v>
      </c>
      <c r="AN34" s="378"/>
      <c r="AO34" s="374">
        <f>IFERROR(MAX(AL34-VTPB_NICT!Q34,0),0)</f>
        <v>1.1659774721521035</v>
      </c>
      <c r="AP34" s="374">
        <f>IFERROR(MAX(AM34-VTPB_NICT!R34,0),0)</f>
        <v>1.0493797249368932</v>
      </c>
    </row>
    <row r="35" spans="1:42" x14ac:dyDescent="0.25">
      <c r="A35">
        <f>A34+1</f>
        <v>4</v>
      </c>
      <c r="B35" s="61" t="s">
        <v>87</v>
      </c>
      <c r="C35" s="55" t="s">
        <v>93</v>
      </c>
      <c r="D35" s="86">
        <f>'Reference VO 2017'!K18</f>
        <v>238</v>
      </c>
      <c r="E35" s="87">
        <f>'Reference VO 2017'!L18</f>
        <v>4688610</v>
      </c>
      <c r="F35" s="262">
        <f t="shared" si="44"/>
        <v>3.3881547541261096E-2</v>
      </c>
      <c r="G35" s="262">
        <f t="shared" si="45"/>
        <v>8.0638083148201414</v>
      </c>
      <c r="H35" s="46">
        <f>SUMIFS('Reference VO 2017'!$F$5:$F$34,'Reference VO 2017'!$B$5:$B$34,"Exit",'Reference VO 2017'!$D$5:$D$34,$B35,'Reference VO 2017'!$C$5:$C$34,H$6)*GCV*1000</f>
        <v>3382423.6799999997</v>
      </c>
      <c r="I35" s="46">
        <f>SUMIFS('Reference VO 2017'!$F$5:$F$34,'Reference VO 2017'!$B$5:$B$34,"Exit",'Reference VO 2017'!$D$5:$D$34,$B35,'Reference VO 2017'!$C$5:$C$34,I$6)*GCV*1000</f>
        <v>0</v>
      </c>
      <c r="J35" s="52">
        <f t="shared" si="34"/>
        <v>0.62369876586523909</v>
      </c>
      <c r="K35" s="284">
        <f>'Reference VO 2017'!M18</f>
        <v>3.33</v>
      </c>
      <c r="L35" s="284">
        <f>'Reference VO 2017'!N18</f>
        <v>0</v>
      </c>
      <c r="M35" s="53"/>
      <c r="N35" s="52">
        <v>1</v>
      </c>
      <c r="O35" s="262">
        <f>N35*$J35*$C$73+VTPB_NICT!Q35</f>
        <v>3.0172025016074739</v>
      </c>
      <c r="P35" s="263">
        <v>1</v>
      </c>
      <c r="Q35" s="262">
        <f>benchmark_m</f>
        <v>2.2220000000000004</v>
      </c>
      <c r="R35" s="52">
        <f t="shared" si="35"/>
        <v>0.9</v>
      </c>
      <c r="S35" s="284">
        <f t="shared" si="36"/>
        <v>2.7154822514467267</v>
      </c>
      <c r="T35" s="263">
        <f t="shared" si="46"/>
        <v>1</v>
      </c>
      <c r="U35" s="262">
        <f t="shared" si="37"/>
        <v>1.9998000000000005</v>
      </c>
      <c r="V35" s="559">
        <f t="shared" ref="V35:V56" si="57">((1-P35)*$S$63+P35)*Q35</f>
        <v>2.2220000000000004</v>
      </c>
      <c r="W35" s="560">
        <f t="shared" si="47"/>
        <v>1.9998000000000005</v>
      </c>
      <c r="X35" s="263">
        <f t="shared" si="38"/>
        <v>0</v>
      </c>
      <c r="Y35" s="263">
        <f t="shared" si="48"/>
        <v>1</v>
      </c>
      <c r="Z35" s="377">
        <f t="shared" si="39"/>
        <v>2.2220000000000004</v>
      </c>
      <c r="AA35" s="263">
        <f t="shared" si="40"/>
        <v>0</v>
      </c>
      <c r="AB35" s="263">
        <f t="shared" si="49"/>
        <v>1</v>
      </c>
      <c r="AC35" s="377">
        <f t="shared" si="50"/>
        <v>1.9998000000000005</v>
      </c>
      <c r="AD35" s="550">
        <f>Z35</f>
        <v>2.2220000000000004</v>
      </c>
      <c r="AE35" s="552">
        <f t="shared" si="54"/>
        <v>1.9998000000000005</v>
      </c>
      <c r="AF35" s="263">
        <f t="shared" si="41"/>
        <v>0</v>
      </c>
      <c r="AG35" s="263">
        <f t="shared" si="51"/>
        <v>0</v>
      </c>
      <c r="AH35" s="377">
        <f t="shared" si="42"/>
        <v>2.2220000000000004</v>
      </c>
      <c r="AI35" s="263">
        <f t="shared" si="55"/>
        <v>1</v>
      </c>
      <c r="AJ35" s="263">
        <f t="shared" si="52"/>
        <v>0</v>
      </c>
      <c r="AK35" s="377">
        <f t="shared" si="56"/>
        <v>1.9998000000000005</v>
      </c>
      <c r="AL35" s="550">
        <f t="shared" si="43"/>
        <v>2.2284547388931903</v>
      </c>
      <c r="AM35" s="552">
        <f t="shared" si="53"/>
        <v>2.0056092650038715</v>
      </c>
      <c r="AN35" s="378"/>
      <c r="AO35" s="374">
        <f>IFERROR(MAX(AL35-VTPB_NICT!Q35,0),0)</f>
        <v>1.2757442654777145</v>
      </c>
      <c r="AP35" s="374">
        <f>IFERROR(MAX(AM35-VTPB_NICT!R35,0),0)</f>
        <v>1.1481698389299431</v>
      </c>
    </row>
    <row r="36" spans="1:42" ht="14.45" customHeight="1" x14ac:dyDescent="0.25">
      <c r="A36">
        <f t="shared" ref="A36:A56" si="58">A35+1</f>
        <v>5</v>
      </c>
      <c r="B36" s="61" t="s">
        <v>73</v>
      </c>
      <c r="C36" s="55" t="s">
        <v>92</v>
      </c>
      <c r="D36" s="86">
        <f>'Reference VO 2017'!K19</f>
        <v>242</v>
      </c>
      <c r="E36" s="87">
        <f>'Reference VO 2017'!L19</f>
        <v>15660325</v>
      </c>
      <c r="F36" s="262">
        <f t="shared" si="44"/>
        <v>0.11316702519490845</v>
      </c>
      <c r="G36" s="262">
        <f t="shared" si="45"/>
        <v>27.386420097167846</v>
      </c>
      <c r="H36" s="46">
        <f>SUMIFS('Reference VO 2017'!$F$5:$F$34,'Reference VO 2017'!$B$5:$B$34,"Exit",'Reference VO 2017'!$D$5:$D$34,$B36,'Reference VO 2017'!$C$5:$C$34,H$6)*GCV*1000</f>
        <v>15660326.669999998</v>
      </c>
      <c r="I36" s="46">
        <f>SUMIFS('Reference VO 2017'!$F$5:$F$34,'Reference VO 2017'!$B$5:$B$34,"Exit",'Reference VO 2017'!$D$5:$D$34,$B36,'Reference VO 2017'!$C$5:$C$34,I$6)*GCV*1000</f>
        <v>0</v>
      </c>
      <c r="J36" s="52">
        <f t="shared" si="34"/>
        <v>0.71518638473525098</v>
      </c>
      <c r="K36" s="284">
        <f>'Reference VO 2017'!M19</f>
        <v>3.44</v>
      </c>
      <c r="L36" s="284">
        <f>'Reference VO 2017'!N19</f>
        <v>0</v>
      </c>
      <c r="M36" s="53"/>
      <c r="N36" s="52">
        <v>1</v>
      </c>
      <c r="O36" s="262">
        <f>N36*$J36*$C$73+VTPB_NICT!Q36</f>
        <v>2.4870347730388596</v>
      </c>
      <c r="P36" s="263">
        <f t="shared" ref="P36:P52" si="59">IF(K36=0,0,IF(O36&gt;(1+max_increase)*$K36,1,0))</f>
        <v>0</v>
      </c>
      <c r="Q36" s="262">
        <f t="shared" ref="Q36:Q56" si="60">(1-P36)*O36+P36*(1+max_increase)*K36</f>
        <v>2.4870347730388596</v>
      </c>
      <c r="R36" s="52">
        <f t="shared" si="35"/>
        <v>0.9</v>
      </c>
      <c r="S36" s="284">
        <f t="shared" si="36"/>
        <v>2.2383312957349735</v>
      </c>
      <c r="T36" s="263">
        <f>P36</f>
        <v>0</v>
      </c>
      <c r="U36" s="262">
        <f t="shared" si="37"/>
        <v>2.2383312957349735</v>
      </c>
      <c r="V36" s="559">
        <f t="shared" si="57"/>
        <v>2.7977443041530781</v>
      </c>
      <c r="W36" s="560">
        <f t="shared" si="47"/>
        <v>2.5179698737377705</v>
      </c>
      <c r="X36" s="263">
        <f t="shared" si="38"/>
        <v>0</v>
      </c>
      <c r="Y36" s="263">
        <f t="shared" si="48"/>
        <v>0</v>
      </c>
      <c r="Z36" s="377">
        <f t="shared" si="39"/>
        <v>2.7977443041530781</v>
      </c>
      <c r="AA36" s="263">
        <f t="shared" si="40"/>
        <v>0</v>
      </c>
      <c r="AB36" s="263">
        <f t="shared" si="49"/>
        <v>0</v>
      </c>
      <c r="AC36" s="377">
        <f t="shared" si="50"/>
        <v>2.5179698737377705</v>
      </c>
      <c r="AD36" s="550">
        <f t="shared" ref="AD36:AD56" si="61">IF(AB36=0,Z36*$AB$63,K36*(1+max_increase))</f>
        <v>3.3152604418317755</v>
      </c>
      <c r="AE36" s="552">
        <f t="shared" si="54"/>
        <v>2.9837343976485982</v>
      </c>
      <c r="AF36" s="263">
        <f t="shared" si="41"/>
        <v>0</v>
      </c>
      <c r="AG36" s="263">
        <f t="shared" si="51"/>
        <v>0</v>
      </c>
      <c r="AH36" s="377">
        <f t="shared" si="42"/>
        <v>3.3152604418317755</v>
      </c>
      <c r="AI36" s="263">
        <f t="shared" si="55"/>
        <v>0</v>
      </c>
      <c r="AJ36" s="263">
        <f t="shared" si="52"/>
        <v>0</v>
      </c>
      <c r="AK36" s="377">
        <f t="shared" si="56"/>
        <v>2.9837343976485982</v>
      </c>
      <c r="AL36" s="550">
        <f t="shared" si="43"/>
        <v>3.32489101812113</v>
      </c>
      <c r="AM36" s="552">
        <f>AL36*R36</f>
        <v>2.9924019163090172</v>
      </c>
      <c r="AN36" s="378"/>
      <c r="AO36" s="374">
        <f>IFERROR(MAX(AL36-VTPB_NICT!Q36,0),0)</f>
        <v>3.2051794959293045</v>
      </c>
      <c r="AP36" s="374">
        <f>IFERROR(MAX(AM36-VTPB_NICT!R36,0),0)</f>
        <v>2.8846615463363743</v>
      </c>
    </row>
    <row r="37" spans="1:42" ht="15" customHeight="1" x14ac:dyDescent="0.25">
      <c r="A37">
        <f t="shared" si="58"/>
        <v>6</v>
      </c>
      <c r="B37" s="61" t="s">
        <v>88</v>
      </c>
      <c r="C37" s="55" t="s">
        <v>91</v>
      </c>
      <c r="D37" s="86">
        <f>'Reference VO 2017'!K20</f>
        <v>36</v>
      </c>
      <c r="E37" s="87">
        <f>'Reference VO 2017'!L20</f>
        <v>1119000</v>
      </c>
      <c r="F37" s="262">
        <f t="shared" si="44"/>
        <v>8.0862881960050356E-3</v>
      </c>
      <c r="G37" s="262">
        <f t="shared" si="45"/>
        <v>0.29110637505618131</v>
      </c>
      <c r="H37" s="46">
        <f>SUMIFS('Reference VO 2017'!$F$5:$F$34,'Reference VO 2017'!$B$5:$B$34,"Exit",'Reference VO 2017'!$D$5:$D$34,$B37,'Reference VO 2017'!$C$5:$C$34,H$6)*GCV*1000</f>
        <v>0</v>
      </c>
      <c r="I37" s="46">
        <f>SUMIFS('Reference VO 2017'!$F$5:$F$34,'Reference VO 2017'!$B$5:$B$34,"Exit",'Reference VO 2017'!$D$5:$D$34,$B37,'Reference VO 2017'!$C$5:$C$34,I$6)*GCV*1000</f>
        <v>0</v>
      </c>
      <c r="J37" s="52">
        <f t="shared" si="34"/>
        <v>0.41581601924538891</v>
      </c>
      <c r="K37" s="284">
        <f>'Reference VO 2017'!M20</f>
        <v>1.1200000000000001</v>
      </c>
      <c r="L37" s="284">
        <f>'Reference VO 2017'!N20</f>
        <v>0</v>
      </c>
      <c r="M37" s="53"/>
      <c r="N37" s="52">
        <v>1</v>
      </c>
      <c r="O37" s="262">
        <f>N37*$J37*$C$73+VTPB_NICT!Q37</f>
        <v>1.4459851601239597</v>
      </c>
      <c r="P37" s="263">
        <f t="shared" si="59"/>
        <v>1</v>
      </c>
      <c r="Q37" s="262">
        <f t="shared" si="60"/>
        <v>1.2320000000000002</v>
      </c>
      <c r="R37" s="52">
        <f t="shared" si="35"/>
        <v>0.9</v>
      </c>
      <c r="S37" s="284">
        <f t="shared" si="36"/>
        <v>1.3013866441115638</v>
      </c>
      <c r="T37" s="263">
        <f t="shared" si="46"/>
        <v>1</v>
      </c>
      <c r="U37" s="262">
        <f t="shared" si="37"/>
        <v>1.1088000000000002</v>
      </c>
      <c r="V37" s="559">
        <f t="shared" si="57"/>
        <v>1.2320000000000002</v>
      </c>
      <c r="W37" s="560">
        <f t="shared" si="47"/>
        <v>1.1088000000000002</v>
      </c>
      <c r="X37" s="263">
        <f t="shared" si="38"/>
        <v>0</v>
      </c>
      <c r="Y37" s="263">
        <f t="shared" si="48"/>
        <v>1</v>
      </c>
      <c r="Z37" s="377">
        <f t="shared" si="39"/>
        <v>1.2320000000000002</v>
      </c>
      <c r="AA37" s="263">
        <f t="shared" si="40"/>
        <v>0</v>
      </c>
      <c r="AB37" s="263">
        <f t="shared" si="49"/>
        <v>1</v>
      </c>
      <c r="AC37" s="377">
        <f t="shared" si="50"/>
        <v>1.1088000000000002</v>
      </c>
      <c r="AD37" s="550">
        <f t="shared" si="61"/>
        <v>1.2320000000000002</v>
      </c>
      <c r="AE37" s="552">
        <f>AD37*R37</f>
        <v>1.1088000000000002</v>
      </c>
      <c r="AF37" s="263">
        <f t="shared" si="41"/>
        <v>0</v>
      </c>
      <c r="AG37" s="263">
        <f t="shared" si="51"/>
        <v>0</v>
      </c>
      <c r="AH37" s="377">
        <f t="shared" si="42"/>
        <v>1.2320000000000002</v>
      </c>
      <c r="AI37" s="263">
        <f t="shared" si="55"/>
        <v>1</v>
      </c>
      <c r="AJ37" s="263">
        <f t="shared" si="52"/>
        <v>0</v>
      </c>
      <c r="AK37" s="377">
        <f t="shared" si="56"/>
        <v>1.1088000000000002</v>
      </c>
      <c r="AL37" s="550">
        <f t="shared" si="43"/>
        <v>1.2355788651288975</v>
      </c>
      <c r="AM37" s="552">
        <f t="shared" si="53"/>
        <v>1.1120209786160078</v>
      </c>
      <c r="AN37" s="378"/>
      <c r="AO37" s="374">
        <f>IFERROR(MAX(AL37-VTPB_NICT!Q37,0),0)</f>
        <v>1.1659774721521035</v>
      </c>
      <c r="AP37" s="374">
        <f>IFERROR(MAX(AM37-VTPB_NICT!R37,0),0)</f>
        <v>1.0493797249368932</v>
      </c>
    </row>
    <row r="38" spans="1:42" ht="14.45" customHeight="1" x14ac:dyDescent="0.25">
      <c r="A38">
        <f t="shared" si="58"/>
        <v>7</v>
      </c>
      <c r="B38" s="61" t="s">
        <v>74</v>
      </c>
      <c r="C38" s="55" t="s">
        <v>92</v>
      </c>
      <c r="D38" s="86">
        <f>'Reference VO 2017'!K21</f>
        <v>337</v>
      </c>
      <c r="E38" s="87">
        <f>'Reference VO 2017'!L21</f>
        <v>7553250</v>
      </c>
      <c r="F38" s="262">
        <f t="shared" si="44"/>
        <v>5.4582445323033989E-2</v>
      </c>
      <c r="G38" s="262">
        <f t="shared" si="45"/>
        <v>18.394284073862455</v>
      </c>
      <c r="H38" s="46">
        <f>SUMIFS('Reference VO 2017'!$F$5:$F$34,'Reference VO 2017'!$B$5:$B$34,"Exit",'Reference VO 2017'!$D$5:$D$34,$B38,'Reference VO 2017'!$C$5:$C$34,H$6)*GCV*1000</f>
        <v>265538.7</v>
      </c>
      <c r="I38" s="46">
        <f>SUMIFS('Reference VO 2017'!$F$5:$F$34,'Reference VO 2017'!$B$5:$B$34,"Exit",'Reference VO 2017'!$D$5:$D$34,$B38,'Reference VO 2017'!$C$5:$C$34,I$6)*GCV*1000</f>
        <v>6468513.7800000003</v>
      </c>
      <c r="J38" s="52">
        <f t="shared" si="34"/>
        <v>0.71518638473525098</v>
      </c>
      <c r="K38" s="284">
        <f>'Reference VO 2017'!M21</f>
        <v>3.44</v>
      </c>
      <c r="L38" s="284">
        <f>'Reference VO 2017'!N21</f>
        <v>2.99</v>
      </c>
      <c r="M38" s="262"/>
      <c r="N38" s="52">
        <v>1</v>
      </c>
      <c r="O38" s="262">
        <f>N38*$J38*$C$73+VTPB_NICT!Q38</f>
        <v>2.4870347730388596</v>
      </c>
      <c r="P38" s="263">
        <f t="shared" si="59"/>
        <v>0</v>
      </c>
      <c r="Q38" s="262">
        <f t="shared" si="60"/>
        <v>2.4870347730388596</v>
      </c>
      <c r="R38" s="52">
        <f t="shared" si="35"/>
        <v>0.9</v>
      </c>
      <c r="S38" s="284">
        <f t="shared" si="36"/>
        <v>2.2383312957349735</v>
      </c>
      <c r="T38" s="263">
        <f t="shared" si="46"/>
        <v>0</v>
      </c>
      <c r="U38" s="262">
        <f t="shared" si="37"/>
        <v>2.2383312957349735</v>
      </c>
      <c r="V38" s="559">
        <f t="shared" si="57"/>
        <v>2.7977443041530781</v>
      </c>
      <c r="W38" s="560">
        <f t="shared" si="47"/>
        <v>2.5179698737377705</v>
      </c>
      <c r="X38" s="263">
        <f t="shared" si="38"/>
        <v>0</v>
      </c>
      <c r="Y38" s="263">
        <f t="shared" si="48"/>
        <v>0</v>
      </c>
      <c r="Z38" s="377">
        <f t="shared" si="39"/>
        <v>2.7977443041530781</v>
      </c>
      <c r="AA38" s="263">
        <f t="shared" si="40"/>
        <v>0</v>
      </c>
      <c r="AB38" s="263">
        <f t="shared" si="49"/>
        <v>0</v>
      </c>
      <c r="AC38" s="377">
        <f t="shared" si="50"/>
        <v>2.5179698737377705</v>
      </c>
      <c r="AD38" s="550">
        <f t="shared" si="61"/>
        <v>3.3152604418317755</v>
      </c>
      <c r="AE38" s="552">
        <f t="shared" si="54"/>
        <v>2.9837343976485982</v>
      </c>
      <c r="AF38" s="263">
        <f t="shared" si="41"/>
        <v>0</v>
      </c>
      <c r="AG38" s="263">
        <f t="shared" si="51"/>
        <v>0</v>
      </c>
      <c r="AH38" s="377">
        <f t="shared" si="42"/>
        <v>3.3152604418317755</v>
      </c>
      <c r="AI38" s="263">
        <f t="shared" si="55"/>
        <v>0</v>
      </c>
      <c r="AJ38" s="263">
        <f t="shared" si="52"/>
        <v>0</v>
      </c>
      <c r="AK38" s="377">
        <f t="shared" si="56"/>
        <v>2.9837343976485982</v>
      </c>
      <c r="AL38" s="550">
        <f t="shared" si="43"/>
        <v>3.32489101812113</v>
      </c>
      <c r="AM38" s="552">
        <f t="shared" si="53"/>
        <v>2.9924019163090172</v>
      </c>
      <c r="AN38" s="378"/>
      <c r="AO38" s="374">
        <f>IFERROR(MAX(AL38-VTPB_NICT!Q38,0),0)</f>
        <v>3.2051794959293045</v>
      </c>
      <c r="AP38" s="374">
        <f>IFERROR(MAX(AM38-VTPB_NICT!R38,0),0)</f>
        <v>2.8846615463363743</v>
      </c>
    </row>
    <row r="39" spans="1:42" ht="15" customHeight="1" x14ac:dyDescent="0.25">
      <c r="A39">
        <f t="shared" si="58"/>
        <v>8</v>
      </c>
      <c r="B39" s="61" t="s">
        <v>75</v>
      </c>
      <c r="C39" s="53" t="s">
        <v>96</v>
      </c>
      <c r="D39" s="86">
        <f>'Reference VO 2017'!K22</f>
        <v>2</v>
      </c>
      <c r="E39" s="87">
        <f>'Reference VO 2017'!L22</f>
        <v>7273500</v>
      </c>
      <c r="F39" s="262">
        <f t="shared" si="44"/>
        <v>5.2560873274032728E-2</v>
      </c>
      <c r="G39" s="262">
        <f t="shared" si="45"/>
        <v>0.10512174654806546</v>
      </c>
      <c r="H39" s="46">
        <f>SUMIFS('Reference VO 2017'!$F$5:$F$34,'Reference VO 2017'!$B$5:$B$34,"Exit",'Reference VO 2017'!$D$5:$D$34,$B39,'Reference VO 2017'!$C$5:$C$34,H$6)*GCV*1000</f>
        <v>5749392.9999999991</v>
      </c>
      <c r="I39" s="46">
        <f>SUMIFS('Reference VO 2017'!$F$5:$F$34,'Reference VO 2017'!$B$5:$B$34,"Exit",'Reference VO 2017'!$D$5:$D$34,$B39,'Reference VO 2017'!$C$5:$C$34,I$6)*GCV*1000</f>
        <v>0</v>
      </c>
      <c r="J39" s="52">
        <f t="shared" si="34"/>
        <v>0.25634007157506294</v>
      </c>
      <c r="K39" s="284">
        <f>'Reference VO 2017'!M22</f>
        <v>0.4</v>
      </c>
      <c r="L39" s="284">
        <f>'Reference VO 2017'!N22</f>
        <v>0</v>
      </c>
      <c r="M39" s="262"/>
      <c r="N39" s="52">
        <f>1-discount_storage_exit</f>
        <v>0.5</v>
      </c>
      <c r="O39" s="262">
        <f>N39*$J39*$C$73+VTPB_NICT!Q39</f>
        <v>0.44570666146451637</v>
      </c>
      <c r="P39" s="263">
        <f t="shared" si="59"/>
        <v>1</v>
      </c>
      <c r="Q39" s="262">
        <f t="shared" si="60"/>
        <v>0.44000000000000006</v>
      </c>
      <c r="R39" s="52">
        <f t="shared" si="35"/>
        <v>0.9</v>
      </c>
      <c r="S39" s="284">
        <f t="shared" si="36"/>
        <v>0.40113599531806476</v>
      </c>
      <c r="T39" s="263">
        <f t="shared" si="46"/>
        <v>1</v>
      </c>
      <c r="U39" s="262">
        <f t="shared" si="37"/>
        <v>0.39600000000000007</v>
      </c>
      <c r="V39" s="559">
        <f t="shared" si="57"/>
        <v>0.44000000000000006</v>
      </c>
      <c r="W39" s="560">
        <f t="shared" si="47"/>
        <v>0.39600000000000007</v>
      </c>
      <c r="X39" s="263">
        <f t="shared" si="38"/>
        <v>0</v>
      </c>
      <c r="Y39" s="263">
        <f t="shared" si="48"/>
        <v>1</v>
      </c>
      <c r="Z39" s="377">
        <f t="shared" si="39"/>
        <v>0.44000000000000006</v>
      </c>
      <c r="AA39" s="263">
        <f t="shared" si="40"/>
        <v>0</v>
      </c>
      <c r="AB39" s="263">
        <f t="shared" si="49"/>
        <v>1</v>
      </c>
      <c r="AC39" s="377">
        <f t="shared" si="50"/>
        <v>0.39600000000000007</v>
      </c>
      <c r="AD39" s="550">
        <f t="shared" si="61"/>
        <v>0.44000000000000006</v>
      </c>
      <c r="AE39" s="552">
        <f t="shared" si="54"/>
        <v>0.39600000000000007</v>
      </c>
      <c r="AF39" s="263">
        <f t="shared" si="41"/>
        <v>0</v>
      </c>
      <c r="AG39" s="263">
        <f t="shared" si="51"/>
        <v>0</v>
      </c>
      <c r="AH39" s="377">
        <f t="shared" si="42"/>
        <v>0.44000000000000006</v>
      </c>
      <c r="AI39" s="263">
        <f t="shared" si="55"/>
        <v>1</v>
      </c>
      <c r="AJ39" s="263">
        <f t="shared" si="52"/>
        <v>0</v>
      </c>
      <c r="AK39" s="377">
        <f t="shared" si="56"/>
        <v>0.39600000000000007</v>
      </c>
      <c r="AL39" s="550">
        <f t="shared" si="43"/>
        <v>0.4412781661174634</v>
      </c>
      <c r="AM39" s="552">
        <f t="shared" si="53"/>
        <v>0.39715034950571709</v>
      </c>
      <c r="AN39" s="378"/>
      <c r="AO39" s="374">
        <f>IFERROR(MAX(AL39-VTPB_NICT!Q39,0),0)</f>
        <v>0.41982441586299513</v>
      </c>
      <c r="AP39" s="374">
        <f>IFERROR(MAX(AM39-VTPB_NICT!R39,0),0)</f>
        <v>0.37784197427669569</v>
      </c>
    </row>
    <row r="40" spans="1:42" ht="14.45" customHeight="1" x14ac:dyDescent="0.25">
      <c r="A40">
        <f t="shared" si="58"/>
        <v>9</v>
      </c>
      <c r="B40" t="s">
        <v>139</v>
      </c>
      <c r="C40" s="53" t="s">
        <v>96</v>
      </c>
      <c r="D40" s="86">
        <f>'Reference VO 2017'!K23</f>
        <v>334</v>
      </c>
      <c r="E40" s="87">
        <f>'Reference VO 2017'!L23</f>
        <v>2950825</v>
      </c>
      <c r="F40" s="262">
        <f t="shared" si="44"/>
        <v>2.1323700952615335E-2</v>
      </c>
      <c r="G40" s="262">
        <f t="shared" si="45"/>
        <v>7.1221161181735217</v>
      </c>
      <c r="H40" s="46">
        <f>SUMIFS('Reference VO 2017'!$F$5:$F$34,'Reference VO 2017'!$B$5:$B$34,"Exit",'Reference VO 2017'!$D$5:$D$34,$B40,'Reference VO 2017'!$C$5:$C$34,H$6)*GCV*1000</f>
        <v>2950825</v>
      </c>
      <c r="I40" s="46">
        <f>SUMIFS('Reference VO 2017'!$F$5:$F$34,'Reference VO 2017'!$B$5:$B$34,"Exit",'Reference VO 2017'!$D$5:$D$34,$B40,'Reference VO 2017'!$C$5:$C$34,I$6)*GCV*1000</f>
        <v>0</v>
      </c>
      <c r="J40" s="52">
        <f t="shared" si="34"/>
        <v>0.25634007157506294</v>
      </c>
      <c r="K40" s="284">
        <f>'Reference VO 2017'!M23</f>
        <v>0.4</v>
      </c>
      <c r="L40" s="284">
        <f>'Reference VO 2017'!N23</f>
        <v>0</v>
      </c>
      <c r="M40" s="262"/>
      <c r="N40" s="52">
        <f>1-discount_storage_exit</f>
        <v>0.5</v>
      </c>
      <c r="O40" s="262">
        <f>N40*$J40*$C$73+VTPB_NICT!Q40</f>
        <v>0.44570666146451637</v>
      </c>
      <c r="P40" s="263">
        <f t="shared" si="59"/>
        <v>1</v>
      </c>
      <c r="Q40" s="262">
        <f t="shared" si="60"/>
        <v>0.44000000000000006</v>
      </c>
      <c r="R40" s="52">
        <f t="shared" si="35"/>
        <v>0.9</v>
      </c>
      <c r="S40" s="284">
        <f t="shared" si="36"/>
        <v>0.40113599531806476</v>
      </c>
      <c r="T40" s="263">
        <f t="shared" si="46"/>
        <v>1</v>
      </c>
      <c r="U40" s="262">
        <f t="shared" si="37"/>
        <v>0.39600000000000007</v>
      </c>
      <c r="V40" s="559">
        <f t="shared" si="57"/>
        <v>0.44000000000000006</v>
      </c>
      <c r="W40" s="560">
        <f t="shared" si="47"/>
        <v>0.39600000000000007</v>
      </c>
      <c r="X40" s="263">
        <f t="shared" si="38"/>
        <v>0</v>
      </c>
      <c r="Y40" s="263">
        <f t="shared" si="48"/>
        <v>1</v>
      </c>
      <c r="Z40" s="377">
        <f t="shared" si="39"/>
        <v>0.44000000000000006</v>
      </c>
      <c r="AA40" s="263">
        <f t="shared" si="40"/>
        <v>0</v>
      </c>
      <c r="AB40" s="263">
        <f t="shared" si="49"/>
        <v>1</v>
      </c>
      <c r="AC40" s="377">
        <f t="shared" si="50"/>
        <v>0.39600000000000007</v>
      </c>
      <c r="AD40" s="550">
        <f t="shared" si="61"/>
        <v>0.44000000000000006</v>
      </c>
      <c r="AE40" s="552">
        <f t="shared" si="54"/>
        <v>0.39600000000000007</v>
      </c>
      <c r="AF40" s="263">
        <f t="shared" si="41"/>
        <v>0</v>
      </c>
      <c r="AG40" s="263">
        <f t="shared" si="51"/>
        <v>0</v>
      </c>
      <c r="AH40" s="377">
        <f t="shared" si="42"/>
        <v>0.44000000000000006</v>
      </c>
      <c r="AI40" s="263">
        <f t="shared" si="55"/>
        <v>1</v>
      </c>
      <c r="AJ40" s="263">
        <f t="shared" si="52"/>
        <v>0</v>
      </c>
      <c r="AK40" s="377">
        <f t="shared" si="56"/>
        <v>0.39600000000000007</v>
      </c>
      <c r="AL40" s="550">
        <f t="shared" si="43"/>
        <v>0.4412781661174634</v>
      </c>
      <c r="AM40" s="552">
        <f t="shared" si="53"/>
        <v>0.39715034950571709</v>
      </c>
      <c r="AN40" s="378"/>
      <c r="AO40" s="374">
        <f>IFERROR(MAX(AL40-VTPB_NICT!Q40,0),0)</f>
        <v>0.41982441586299513</v>
      </c>
      <c r="AP40" s="374">
        <f>IFERROR(MAX(AM40-VTPB_NICT!R40,0),0)</f>
        <v>0.37784197427669569</v>
      </c>
    </row>
    <row r="41" spans="1:42" x14ac:dyDescent="0.25">
      <c r="A41">
        <f t="shared" si="58"/>
        <v>10</v>
      </c>
      <c r="B41" s="55" t="s">
        <v>111</v>
      </c>
      <c r="C41" s="55" t="s">
        <v>94</v>
      </c>
      <c r="D41" s="86">
        <f>'Reference VO 2017'!K24</f>
        <v>24</v>
      </c>
      <c r="E41" s="87">
        <f>'Reference VO 2017'!L24</f>
        <v>4635629</v>
      </c>
      <c r="F41" s="262">
        <f t="shared" si="44"/>
        <v>3.3498688171366066E-2</v>
      </c>
      <c r="G41" s="262">
        <f t="shared" si="45"/>
        <v>0.80396851611278564</v>
      </c>
      <c r="H41" s="87">
        <f>'Reference VO 2017'!O24</f>
        <v>0</v>
      </c>
      <c r="I41" s="87">
        <f>'Reference VO 2017'!P24</f>
        <v>4635629</v>
      </c>
      <c r="J41" s="52">
        <f t="shared" si="34"/>
        <v>9.5928218457106376E-2</v>
      </c>
      <c r="K41" s="284">
        <f>'Reference VO 2017'!M24</f>
        <v>0.53</v>
      </c>
      <c r="L41" s="284">
        <f>'Reference VO 2017'!N24</f>
        <v>0.48</v>
      </c>
      <c r="M41" s="262"/>
      <c r="N41" s="52">
        <v>1</v>
      </c>
      <c r="O41" s="262">
        <f>N41*$J41*$C$73+VTPB_NICT!Q41</f>
        <v>0.39814968287671298</v>
      </c>
      <c r="P41" s="263">
        <f t="shared" si="59"/>
        <v>0</v>
      </c>
      <c r="Q41" s="262">
        <f t="shared" si="60"/>
        <v>0.39814968287671298</v>
      </c>
      <c r="R41" s="52">
        <f t="shared" si="35"/>
        <v>0.9</v>
      </c>
      <c r="S41" s="284">
        <f t="shared" si="36"/>
        <v>0.3583347145890417</v>
      </c>
      <c r="T41" s="263">
        <f t="shared" si="46"/>
        <v>0</v>
      </c>
      <c r="U41" s="262">
        <f>Q41*(1-discount_DZK)</f>
        <v>0.3583347145890417</v>
      </c>
      <c r="V41" s="559">
        <f t="shared" si="57"/>
        <v>0.44789120745087113</v>
      </c>
      <c r="W41" s="560">
        <f t="shared" si="47"/>
        <v>0.40310208670578401</v>
      </c>
      <c r="X41" s="263">
        <f t="shared" si="38"/>
        <v>0</v>
      </c>
      <c r="Y41" s="263">
        <f t="shared" si="48"/>
        <v>0</v>
      </c>
      <c r="Z41" s="377">
        <f t="shared" si="39"/>
        <v>0.44789120745087113</v>
      </c>
      <c r="AA41" s="263">
        <f t="shared" si="40"/>
        <v>0</v>
      </c>
      <c r="AB41" s="263">
        <f t="shared" si="49"/>
        <v>0</v>
      </c>
      <c r="AC41" s="377">
        <f t="shared" si="50"/>
        <v>0.40310208670578401</v>
      </c>
      <c r="AD41" s="550">
        <f t="shared" si="61"/>
        <v>0.53074042545701405</v>
      </c>
      <c r="AE41" s="552">
        <f t="shared" si="54"/>
        <v>0.47766638291131264</v>
      </c>
      <c r="AF41" s="263">
        <f t="shared" si="41"/>
        <v>0</v>
      </c>
      <c r="AG41" s="263">
        <f t="shared" si="51"/>
        <v>0</v>
      </c>
      <c r="AH41" s="377">
        <f t="shared" si="42"/>
        <v>0.53074042545701405</v>
      </c>
      <c r="AI41" s="263">
        <f t="shared" si="55"/>
        <v>0</v>
      </c>
      <c r="AJ41" s="263">
        <f t="shared" si="52"/>
        <v>0</v>
      </c>
      <c r="AK41" s="377">
        <f t="shared" si="56"/>
        <v>0.47766638291131264</v>
      </c>
      <c r="AL41" s="550">
        <f t="shared" si="43"/>
        <v>0.53228218552289408</v>
      </c>
      <c r="AM41" s="552">
        <f t="shared" si="53"/>
        <v>0.47905396697060471</v>
      </c>
      <c r="AN41" s="378"/>
      <c r="AO41" s="374">
        <f>IFERROR(MAX(AL41-VTPB_NICT!Q41,0),0)</f>
        <v>0.45166245960964774</v>
      </c>
      <c r="AP41" s="374">
        <f>IFERROR(MAX(AM41-VTPB_NICT!R41,0),0)</f>
        <v>0.40649621364868299</v>
      </c>
    </row>
    <row r="42" spans="1:42" x14ac:dyDescent="0.25">
      <c r="A42">
        <f t="shared" si="58"/>
        <v>11</v>
      </c>
      <c r="B42" s="55" t="s">
        <v>112</v>
      </c>
      <c r="C42" s="55" t="s">
        <v>94</v>
      </c>
      <c r="D42" s="86">
        <f>'Reference VO 2017'!K25</f>
        <v>78</v>
      </c>
      <c r="E42" s="87">
        <f>'Reference VO 2017'!L25</f>
        <v>0</v>
      </c>
      <c r="F42" s="262">
        <f t="shared" si="44"/>
        <v>0</v>
      </c>
      <c r="G42" s="262">
        <f t="shared" si="45"/>
        <v>0</v>
      </c>
      <c r="H42" s="87">
        <f>'Reference VO 2017'!O25</f>
        <v>0</v>
      </c>
      <c r="I42" s="87">
        <f>'Reference VO 2017'!P25</f>
        <v>0</v>
      </c>
      <c r="J42" s="52">
        <f t="shared" si="34"/>
        <v>9.5928218457106376E-2</v>
      </c>
      <c r="K42" s="284">
        <f>'Reference VO 2017'!M25</f>
        <v>0.53</v>
      </c>
      <c r="L42" s="284">
        <f>'Reference VO 2017'!N25</f>
        <v>0</v>
      </c>
      <c r="M42" s="262"/>
      <c r="N42" s="52">
        <v>1</v>
      </c>
      <c r="O42" s="262">
        <f>N42*$J42*$C$73+VTPB_NICT!Q42</f>
        <v>0.39814968287671298</v>
      </c>
      <c r="P42" s="263">
        <f t="shared" si="59"/>
        <v>0</v>
      </c>
      <c r="Q42" s="262">
        <f t="shared" si="60"/>
        <v>0.39814968287671298</v>
      </c>
      <c r="R42" s="52">
        <f t="shared" si="35"/>
        <v>0.9</v>
      </c>
      <c r="S42" s="284">
        <f t="shared" si="36"/>
        <v>0.3583347145890417</v>
      </c>
      <c r="T42" s="263">
        <f t="shared" si="46"/>
        <v>0</v>
      </c>
      <c r="U42" s="262">
        <f t="shared" si="37"/>
        <v>0.3583347145890417</v>
      </c>
      <c r="V42" s="559">
        <f t="shared" si="57"/>
        <v>0.44789120745087113</v>
      </c>
      <c r="W42" s="560">
        <f t="shared" si="47"/>
        <v>0.40310208670578401</v>
      </c>
      <c r="X42" s="263">
        <f t="shared" si="38"/>
        <v>0</v>
      </c>
      <c r="Y42" s="263">
        <f t="shared" si="48"/>
        <v>0</v>
      </c>
      <c r="Z42" s="377">
        <f t="shared" si="39"/>
        <v>0.44789120745087113</v>
      </c>
      <c r="AA42" s="263">
        <f t="shared" si="40"/>
        <v>0</v>
      </c>
      <c r="AB42" s="263">
        <f t="shared" si="49"/>
        <v>0</v>
      </c>
      <c r="AC42" s="377">
        <f t="shared" si="50"/>
        <v>0.40310208670578401</v>
      </c>
      <c r="AD42" s="550">
        <f t="shared" si="61"/>
        <v>0.53074042545701405</v>
      </c>
      <c r="AE42" s="552">
        <f t="shared" si="54"/>
        <v>0.47766638291131264</v>
      </c>
      <c r="AF42" s="263">
        <f t="shared" si="41"/>
        <v>0</v>
      </c>
      <c r="AG42" s="263">
        <f t="shared" si="51"/>
        <v>0</v>
      </c>
      <c r="AH42" s="377">
        <f t="shared" si="42"/>
        <v>0.53074042545701405</v>
      </c>
      <c r="AI42" s="263">
        <f t="shared" si="55"/>
        <v>0</v>
      </c>
      <c r="AJ42" s="263">
        <f t="shared" si="52"/>
        <v>0</v>
      </c>
      <c r="AK42" s="377">
        <f t="shared" si="56"/>
        <v>0.47766638291131264</v>
      </c>
      <c r="AL42" s="550">
        <f t="shared" si="43"/>
        <v>0.53228218552289408</v>
      </c>
      <c r="AM42" s="552">
        <f t="shared" si="53"/>
        <v>0.47905396697060471</v>
      </c>
      <c r="AN42" s="378"/>
      <c r="AO42" s="374">
        <f>IFERROR(MAX(AL42-VTPB_NICT!Q42,0),0)</f>
        <v>0.45166245960964774</v>
      </c>
      <c r="AP42" s="374">
        <f>IFERROR(MAX(AM42-VTPB_NICT!R42,0),0)</f>
        <v>0.40649621364868299</v>
      </c>
    </row>
    <row r="43" spans="1:42" x14ac:dyDescent="0.25">
      <c r="A43">
        <f t="shared" si="58"/>
        <v>12</v>
      </c>
      <c r="B43" s="55" t="s">
        <v>113</v>
      </c>
      <c r="C43" s="55" t="s">
        <v>94</v>
      </c>
      <c r="D43" s="86">
        <f>'Reference VO 2017'!K26</f>
        <v>133</v>
      </c>
      <c r="E43" s="87">
        <f>'Reference VO 2017'!L26</f>
        <v>0</v>
      </c>
      <c r="F43" s="262">
        <f t="shared" si="44"/>
        <v>0</v>
      </c>
      <c r="G43" s="262">
        <f t="shared" si="45"/>
        <v>0</v>
      </c>
      <c r="H43" s="87">
        <f>'Reference VO 2017'!O26</f>
        <v>0</v>
      </c>
      <c r="I43" s="87">
        <f>'Reference VO 2017'!P26</f>
        <v>0</v>
      </c>
      <c r="J43" s="52">
        <f t="shared" si="34"/>
        <v>9.5928218457106376E-2</v>
      </c>
      <c r="K43" s="284">
        <f>'Reference VO 2017'!M26</f>
        <v>0.53</v>
      </c>
      <c r="L43" s="284">
        <f>'Reference VO 2017'!N26</f>
        <v>0</v>
      </c>
      <c r="M43" s="262"/>
      <c r="N43" s="52">
        <v>1</v>
      </c>
      <c r="O43" s="262">
        <f>N43*$J43*$C$73+VTPB_NICT!Q43</f>
        <v>0.39814968287671298</v>
      </c>
      <c r="P43" s="263">
        <f t="shared" si="59"/>
        <v>0</v>
      </c>
      <c r="Q43" s="262">
        <f t="shared" si="60"/>
        <v>0.39814968287671298</v>
      </c>
      <c r="R43" s="52">
        <f t="shared" si="35"/>
        <v>0.9</v>
      </c>
      <c r="S43" s="284">
        <f t="shared" si="36"/>
        <v>0.3583347145890417</v>
      </c>
      <c r="T43" s="263">
        <f t="shared" si="46"/>
        <v>0</v>
      </c>
      <c r="U43" s="262">
        <f t="shared" si="37"/>
        <v>0.3583347145890417</v>
      </c>
      <c r="V43" s="559">
        <f t="shared" si="57"/>
        <v>0.44789120745087113</v>
      </c>
      <c r="W43" s="560">
        <f t="shared" si="47"/>
        <v>0.40310208670578401</v>
      </c>
      <c r="X43" s="263">
        <f t="shared" si="38"/>
        <v>0</v>
      </c>
      <c r="Y43" s="263">
        <f t="shared" si="48"/>
        <v>0</v>
      </c>
      <c r="Z43" s="377">
        <f t="shared" si="39"/>
        <v>0.44789120745087113</v>
      </c>
      <c r="AA43" s="263">
        <f t="shared" si="40"/>
        <v>0</v>
      </c>
      <c r="AB43" s="263">
        <f t="shared" si="49"/>
        <v>0</v>
      </c>
      <c r="AC43" s="377">
        <f t="shared" si="50"/>
        <v>0.40310208670578401</v>
      </c>
      <c r="AD43" s="550">
        <f t="shared" si="61"/>
        <v>0.53074042545701405</v>
      </c>
      <c r="AE43" s="552">
        <f t="shared" si="54"/>
        <v>0.47766638291131264</v>
      </c>
      <c r="AF43" s="263">
        <f t="shared" si="41"/>
        <v>0</v>
      </c>
      <c r="AG43" s="263">
        <f t="shared" si="51"/>
        <v>0</v>
      </c>
      <c r="AH43" s="377">
        <f t="shared" si="42"/>
        <v>0.53074042545701405</v>
      </c>
      <c r="AI43" s="263">
        <f t="shared" si="55"/>
        <v>0</v>
      </c>
      <c r="AJ43" s="263">
        <f t="shared" si="52"/>
        <v>0</v>
      </c>
      <c r="AK43" s="377">
        <f t="shared" si="56"/>
        <v>0.47766638291131264</v>
      </c>
      <c r="AL43" s="550">
        <f t="shared" si="43"/>
        <v>0.53228218552289408</v>
      </c>
      <c r="AM43" s="552">
        <f t="shared" si="53"/>
        <v>0.47905396697060471</v>
      </c>
      <c r="AN43" s="378"/>
      <c r="AO43" s="374">
        <f>IFERROR(MAX(AL43-VTPB_NICT!Q43,0),0)</f>
        <v>0.45166245960964774</v>
      </c>
      <c r="AP43" s="374">
        <f>IFERROR(MAX(AM43-VTPB_NICT!R43,0),0)</f>
        <v>0.40649621364868299</v>
      </c>
    </row>
    <row r="44" spans="1:42" x14ac:dyDescent="0.25">
      <c r="A44">
        <f t="shared" si="58"/>
        <v>13</v>
      </c>
      <c r="B44" s="55" t="s">
        <v>114</v>
      </c>
      <c r="C44" s="55" t="s">
        <v>94</v>
      </c>
      <c r="D44" s="86">
        <f>'Reference VO 2017'!K27</f>
        <v>185</v>
      </c>
      <c r="E44" s="87">
        <f>'Reference VO 2017'!L27</f>
        <v>0</v>
      </c>
      <c r="F44" s="262">
        <f t="shared" si="44"/>
        <v>0</v>
      </c>
      <c r="G44" s="262">
        <f t="shared" si="45"/>
        <v>0</v>
      </c>
      <c r="H44" s="87">
        <f>'Reference VO 2017'!O27</f>
        <v>0</v>
      </c>
      <c r="I44" s="87">
        <f>'Reference VO 2017'!P27</f>
        <v>0</v>
      </c>
      <c r="J44" s="52">
        <f t="shared" si="34"/>
        <v>9.5928218457106376E-2</v>
      </c>
      <c r="K44" s="284">
        <f>'Reference VO 2017'!M27</f>
        <v>0.53</v>
      </c>
      <c r="L44" s="284">
        <f>'Reference VO 2017'!N27</f>
        <v>0</v>
      </c>
      <c r="M44" s="262"/>
      <c r="N44" s="52">
        <v>1</v>
      </c>
      <c r="O44" s="262">
        <f>N44*$J44*$C$73+VTPB_NICT!Q44</f>
        <v>0.39814968287671298</v>
      </c>
      <c r="P44" s="263">
        <f t="shared" si="59"/>
        <v>0</v>
      </c>
      <c r="Q44" s="262">
        <f t="shared" si="60"/>
        <v>0.39814968287671298</v>
      </c>
      <c r="R44" s="52">
        <f t="shared" si="35"/>
        <v>0.9</v>
      </c>
      <c r="S44" s="284">
        <f t="shared" si="36"/>
        <v>0.3583347145890417</v>
      </c>
      <c r="T44" s="263">
        <f t="shared" si="46"/>
        <v>0</v>
      </c>
      <c r="U44" s="262">
        <f t="shared" si="37"/>
        <v>0.3583347145890417</v>
      </c>
      <c r="V44" s="559">
        <f t="shared" si="57"/>
        <v>0.44789120745087113</v>
      </c>
      <c r="W44" s="560">
        <f t="shared" si="47"/>
        <v>0.40310208670578401</v>
      </c>
      <c r="X44" s="263">
        <f t="shared" si="38"/>
        <v>0</v>
      </c>
      <c r="Y44" s="263">
        <f t="shared" si="48"/>
        <v>0</v>
      </c>
      <c r="Z44" s="377">
        <f t="shared" si="39"/>
        <v>0.44789120745087113</v>
      </c>
      <c r="AA44" s="263">
        <f t="shared" si="40"/>
        <v>0</v>
      </c>
      <c r="AB44" s="263">
        <f t="shared" si="49"/>
        <v>0</v>
      </c>
      <c r="AC44" s="377">
        <f t="shared" si="50"/>
        <v>0.40310208670578401</v>
      </c>
      <c r="AD44" s="550">
        <f t="shared" si="61"/>
        <v>0.53074042545701405</v>
      </c>
      <c r="AE44" s="552">
        <f t="shared" si="54"/>
        <v>0.47766638291131264</v>
      </c>
      <c r="AF44" s="263">
        <f t="shared" si="41"/>
        <v>0</v>
      </c>
      <c r="AG44" s="263">
        <f t="shared" si="51"/>
        <v>0</v>
      </c>
      <c r="AH44" s="377">
        <f t="shared" si="42"/>
        <v>0.53074042545701405</v>
      </c>
      <c r="AI44" s="263">
        <f t="shared" si="55"/>
        <v>0</v>
      </c>
      <c r="AJ44" s="263">
        <f t="shared" si="52"/>
        <v>0</v>
      </c>
      <c r="AK44" s="377">
        <f t="shared" si="56"/>
        <v>0.47766638291131264</v>
      </c>
      <c r="AL44" s="550">
        <f t="shared" si="43"/>
        <v>0.53228218552289408</v>
      </c>
      <c r="AM44" s="552">
        <f t="shared" si="53"/>
        <v>0.47905396697060471</v>
      </c>
      <c r="AN44" s="378"/>
      <c r="AO44" s="374">
        <f>IFERROR(MAX(AL44-VTPB_NICT!Q44,0),0)</f>
        <v>0.45166245960964774</v>
      </c>
      <c r="AP44" s="374">
        <f>IFERROR(MAX(AM44-VTPB_NICT!R44,0),0)</f>
        <v>0.40649621364868299</v>
      </c>
    </row>
    <row r="45" spans="1:42" x14ac:dyDescent="0.25">
      <c r="A45">
        <f t="shared" si="58"/>
        <v>14</v>
      </c>
      <c r="B45" s="55" t="s">
        <v>115</v>
      </c>
      <c r="C45" s="55" t="s">
        <v>94</v>
      </c>
      <c r="D45" s="86">
        <f>'Reference VO 2017'!K28</f>
        <v>202</v>
      </c>
      <c r="E45" s="87">
        <f>'Reference VO 2017'!L28</f>
        <v>2378658</v>
      </c>
      <c r="F45" s="262">
        <f t="shared" si="44"/>
        <v>1.718902065034222E-2</v>
      </c>
      <c r="G45" s="262">
        <f t="shared" si="45"/>
        <v>3.4721821713691283</v>
      </c>
      <c r="H45" s="87">
        <f>'Reference VO 2017'!O28</f>
        <v>0</v>
      </c>
      <c r="I45" s="87">
        <f>'Reference VO 2017'!P28</f>
        <v>2378663</v>
      </c>
      <c r="J45" s="52">
        <f t="shared" si="34"/>
        <v>9.5928218457106376E-2</v>
      </c>
      <c r="K45" s="284">
        <f>'Reference VO 2017'!M28</f>
        <v>0.53</v>
      </c>
      <c r="L45" s="284">
        <f>'Reference VO 2017'!N28</f>
        <v>0.48</v>
      </c>
      <c r="M45" s="262"/>
      <c r="N45" s="52">
        <v>1</v>
      </c>
      <c r="O45" s="262">
        <f>N45*$J45*$C$73+VTPB_NICT!Q45</f>
        <v>0.39814968287671298</v>
      </c>
      <c r="P45" s="263">
        <f t="shared" si="59"/>
        <v>0</v>
      </c>
      <c r="Q45" s="262">
        <f t="shared" si="60"/>
        <v>0.39814968287671298</v>
      </c>
      <c r="R45" s="52">
        <f t="shared" si="35"/>
        <v>0.9</v>
      </c>
      <c r="S45" s="284">
        <f t="shared" si="36"/>
        <v>0.3583347145890417</v>
      </c>
      <c r="T45" s="263">
        <f t="shared" si="46"/>
        <v>0</v>
      </c>
      <c r="U45" s="262">
        <f t="shared" si="37"/>
        <v>0.3583347145890417</v>
      </c>
      <c r="V45" s="559">
        <f t="shared" si="57"/>
        <v>0.44789120745087113</v>
      </c>
      <c r="W45" s="560">
        <f t="shared" si="47"/>
        <v>0.40310208670578401</v>
      </c>
      <c r="X45" s="263">
        <f t="shared" si="38"/>
        <v>0</v>
      </c>
      <c r="Y45" s="263">
        <f t="shared" si="48"/>
        <v>0</v>
      </c>
      <c r="Z45" s="377">
        <f t="shared" si="39"/>
        <v>0.44789120745087113</v>
      </c>
      <c r="AA45" s="263">
        <f t="shared" si="40"/>
        <v>0</v>
      </c>
      <c r="AB45" s="263">
        <f t="shared" si="49"/>
        <v>0</v>
      </c>
      <c r="AC45" s="377">
        <f t="shared" si="50"/>
        <v>0.40310208670578401</v>
      </c>
      <c r="AD45" s="550">
        <f t="shared" si="61"/>
        <v>0.53074042545701405</v>
      </c>
      <c r="AE45" s="552">
        <f t="shared" si="54"/>
        <v>0.47766638291131264</v>
      </c>
      <c r="AF45" s="263">
        <f t="shared" si="41"/>
        <v>0</v>
      </c>
      <c r="AG45" s="263">
        <f t="shared" si="51"/>
        <v>0</v>
      </c>
      <c r="AH45" s="377">
        <f t="shared" si="42"/>
        <v>0.53074042545701405</v>
      </c>
      <c r="AI45" s="263">
        <f t="shared" si="55"/>
        <v>0</v>
      </c>
      <c r="AJ45" s="263">
        <f t="shared" si="52"/>
        <v>0</v>
      </c>
      <c r="AK45" s="377">
        <f t="shared" si="56"/>
        <v>0.47766638291131264</v>
      </c>
      <c r="AL45" s="550">
        <f t="shared" si="43"/>
        <v>0.53228218552289408</v>
      </c>
      <c r="AM45" s="552">
        <f t="shared" si="53"/>
        <v>0.47905396697060471</v>
      </c>
      <c r="AN45" s="378"/>
      <c r="AO45" s="374">
        <f>IFERROR(MAX(AL45-VTPB_NICT!Q45,0),0)</f>
        <v>0.45166245960964774</v>
      </c>
      <c r="AP45" s="374">
        <f>IFERROR(MAX(AM45-VTPB_NICT!R45,0),0)</f>
        <v>0.40649621364868299</v>
      </c>
    </row>
    <row r="46" spans="1:42" x14ac:dyDescent="0.25">
      <c r="A46">
        <f t="shared" si="58"/>
        <v>15</v>
      </c>
      <c r="B46" s="61" t="s">
        <v>116</v>
      </c>
      <c r="C46" s="55" t="s">
        <v>94</v>
      </c>
      <c r="D46" s="86">
        <f>'Reference VO 2017'!K29</f>
        <v>222</v>
      </c>
      <c r="E46" s="87">
        <f>'Reference VO 2017'!L29</f>
        <v>0</v>
      </c>
      <c r="F46" s="262">
        <f t="shared" si="44"/>
        <v>0</v>
      </c>
      <c r="G46" s="262">
        <f t="shared" si="45"/>
        <v>0</v>
      </c>
      <c r="H46" s="87">
        <f>'Reference VO 2017'!O29</f>
        <v>0</v>
      </c>
      <c r="I46" s="87">
        <f>'Reference VO 2017'!P29</f>
        <v>0</v>
      </c>
      <c r="J46" s="52">
        <f t="shared" si="34"/>
        <v>9.5928218457106376E-2</v>
      </c>
      <c r="K46" s="284">
        <f>'Reference VO 2017'!M29</f>
        <v>0.53</v>
      </c>
      <c r="L46" s="284">
        <f>'Reference VO 2017'!N29</f>
        <v>0</v>
      </c>
      <c r="M46" s="53"/>
      <c r="N46" s="52">
        <v>1</v>
      </c>
      <c r="O46" s="262">
        <f>N46*$J46*$C$73+VTPB_NICT!Q46</f>
        <v>0.39814968287671298</v>
      </c>
      <c r="P46" s="263">
        <f t="shared" si="59"/>
        <v>0</v>
      </c>
      <c r="Q46" s="262">
        <f t="shared" si="60"/>
        <v>0.39814968287671298</v>
      </c>
      <c r="R46" s="52">
        <f t="shared" si="35"/>
        <v>0.9</v>
      </c>
      <c r="S46" s="284">
        <f t="shared" si="36"/>
        <v>0.3583347145890417</v>
      </c>
      <c r="T46" s="263">
        <f t="shared" si="46"/>
        <v>0</v>
      </c>
      <c r="U46" s="262">
        <f t="shared" si="37"/>
        <v>0.3583347145890417</v>
      </c>
      <c r="V46" s="559">
        <f t="shared" si="57"/>
        <v>0.44789120745087113</v>
      </c>
      <c r="W46" s="560">
        <f t="shared" si="47"/>
        <v>0.40310208670578401</v>
      </c>
      <c r="X46" s="263">
        <f t="shared" si="38"/>
        <v>0</v>
      </c>
      <c r="Y46" s="263">
        <f t="shared" si="48"/>
        <v>0</v>
      </c>
      <c r="Z46" s="377">
        <f t="shared" si="39"/>
        <v>0.44789120745087113</v>
      </c>
      <c r="AA46" s="263">
        <f t="shared" si="40"/>
        <v>0</v>
      </c>
      <c r="AB46" s="263">
        <f t="shared" si="49"/>
        <v>0</v>
      </c>
      <c r="AC46" s="377">
        <f t="shared" si="50"/>
        <v>0.40310208670578401</v>
      </c>
      <c r="AD46" s="550">
        <f t="shared" si="61"/>
        <v>0.53074042545701405</v>
      </c>
      <c r="AE46" s="552">
        <f t="shared" si="54"/>
        <v>0.47766638291131264</v>
      </c>
      <c r="AF46" s="263">
        <f t="shared" si="41"/>
        <v>0</v>
      </c>
      <c r="AG46" s="263">
        <f t="shared" si="51"/>
        <v>0</v>
      </c>
      <c r="AH46" s="377">
        <f t="shared" si="42"/>
        <v>0.53074042545701405</v>
      </c>
      <c r="AI46" s="263">
        <f t="shared" si="55"/>
        <v>0</v>
      </c>
      <c r="AJ46" s="263">
        <f t="shared" si="52"/>
        <v>0</v>
      </c>
      <c r="AK46" s="377">
        <f t="shared" si="56"/>
        <v>0.47766638291131264</v>
      </c>
      <c r="AL46" s="550">
        <f t="shared" si="43"/>
        <v>0.53228218552289408</v>
      </c>
      <c r="AM46" s="552">
        <f t="shared" si="53"/>
        <v>0.47905396697060471</v>
      </c>
      <c r="AN46" s="378"/>
      <c r="AO46" s="374">
        <f>IFERROR(MAX(AL46-VTPB_NICT!Q46,0),0)</f>
        <v>0.45166245960964774</v>
      </c>
      <c r="AP46" s="374">
        <f>IFERROR(MAX(AM46-VTPB_NICT!R46,0),0)</f>
        <v>0.40649621364868299</v>
      </c>
    </row>
    <row r="47" spans="1:42" x14ac:dyDescent="0.25">
      <c r="A47">
        <f t="shared" si="58"/>
        <v>16</v>
      </c>
      <c r="B47" s="61" t="s">
        <v>117</v>
      </c>
      <c r="C47" s="55" t="s">
        <v>94</v>
      </c>
      <c r="D47" s="86">
        <f>'Reference VO 2017'!K30</f>
        <v>0</v>
      </c>
      <c r="E47" s="87">
        <f>'Reference VO 2017'!L30</f>
        <v>21422795</v>
      </c>
      <c r="F47" s="262">
        <f t="shared" si="44"/>
        <v>0.15480866339046978</v>
      </c>
      <c r="G47" s="262">
        <f t="shared" si="45"/>
        <v>0</v>
      </c>
      <c r="H47" s="87">
        <f>'Reference VO 2017'!O30</f>
        <v>21442272.456849314</v>
      </c>
      <c r="I47" s="87">
        <f>'Reference VO 2017'!P30</f>
        <v>0</v>
      </c>
      <c r="J47" s="52">
        <f t="shared" si="34"/>
        <v>9.5928218457106376E-2</v>
      </c>
      <c r="K47" s="284">
        <f>'Reference VO 2017'!M30</f>
        <v>0.53</v>
      </c>
      <c r="L47" s="284">
        <f>'Reference VO 2017'!N30</f>
        <v>0</v>
      </c>
      <c r="M47" s="53"/>
      <c r="N47" s="52">
        <v>1</v>
      </c>
      <c r="O47" s="262">
        <f>N47*$J47*$C$73+VTPB_NICT!Q47</f>
        <v>0.39814968287671298</v>
      </c>
      <c r="P47" s="263">
        <f t="shared" si="59"/>
        <v>0</v>
      </c>
      <c r="Q47" s="262">
        <f t="shared" si="60"/>
        <v>0.39814968287671298</v>
      </c>
      <c r="R47" s="52">
        <f t="shared" si="35"/>
        <v>0.9</v>
      </c>
      <c r="S47" s="284">
        <f t="shared" si="36"/>
        <v>0.3583347145890417</v>
      </c>
      <c r="T47" s="263">
        <f t="shared" si="46"/>
        <v>0</v>
      </c>
      <c r="U47" s="262">
        <f t="shared" si="37"/>
        <v>0.3583347145890417</v>
      </c>
      <c r="V47" s="559">
        <f t="shared" si="57"/>
        <v>0.44789120745087113</v>
      </c>
      <c r="W47" s="560">
        <f t="shared" si="47"/>
        <v>0.40310208670578401</v>
      </c>
      <c r="X47" s="263">
        <f t="shared" si="38"/>
        <v>0</v>
      </c>
      <c r="Y47" s="263">
        <f t="shared" si="48"/>
        <v>0</v>
      </c>
      <c r="Z47" s="377">
        <f t="shared" si="39"/>
        <v>0.44789120745087113</v>
      </c>
      <c r="AA47" s="263">
        <f t="shared" si="40"/>
        <v>0</v>
      </c>
      <c r="AB47" s="263">
        <f t="shared" si="49"/>
        <v>0</v>
      </c>
      <c r="AC47" s="377">
        <f t="shared" si="50"/>
        <v>0.40310208670578401</v>
      </c>
      <c r="AD47" s="550">
        <f t="shared" si="61"/>
        <v>0.53074042545701405</v>
      </c>
      <c r="AE47" s="552">
        <f t="shared" si="54"/>
        <v>0.47766638291131264</v>
      </c>
      <c r="AF47" s="263">
        <f t="shared" si="41"/>
        <v>0</v>
      </c>
      <c r="AG47" s="263">
        <f t="shared" si="51"/>
        <v>0</v>
      </c>
      <c r="AH47" s="377">
        <f t="shared" si="42"/>
        <v>0.53074042545701405</v>
      </c>
      <c r="AI47" s="263">
        <f t="shared" si="55"/>
        <v>0</v>
      </c>
      <c r="AJ47" s="263">
        <f t="shared" si="52"/>
        <v>0</v>
      </c>
      <c r="AK47" s="377">
        <f t="shared" si="56"/>
        <v>0.47766638291131264</v>
      </c>
      <c r="AL47" s="550">
        <f t="shared" si="43"/>
        <v>0.53228218552289408</v>
      </c>
      <c r="AM47" s="552">
        <f t="shared" si="53"/>
        <v>0.47905396697060471</v>
      </c>
      <c r="AN47" s="378"/>
      <c r="AO47" s="374">
        <f>IFERROR(MAX(AL47-VTPB_NICT!Q47,0),0)</f>
        <v>0.45166245960964774</v>
      </c>
      <c r="AP47" s="374">
        <f>IFERROR(MAX(AM47-VTPB_NICT!R47,0),0)</f>
        <v>0.40649621364868299</v>
      </c>
    </row>
    <row r="48" spans="1:42" x14ac:dyDescent="0.25">
      <c r="A48">
        <f t="shared" si="58"/>
        <v>17</v>
      </c>
      <c r="B48" s="61" t="s">
        <v>118</v>
      </c>
      <c r="C48" s="55" t="s">
        <v>94</v>
      </c>
      <c r="D48" s="86">
        <f>'Reference VO 2017'!K31</f>
        <v>71.84778</v>
      </c>
      <c r="E48" s="87">
        <f>'Reference VO 2017'!L31</f>
        <v>1111503</v>
      </c>
      <c r="F48" s="262">
        <f t="shared" si="44"/>
        <v>8.0321122329974851E-3</v>
      </c>
      <c r="G48" s="262">
        <f t="shared" si="45"/>
        <v>0.57708943265171209</v>
      </c>
      <c r="H48" s="87">
        <f>'Reference VO 2017'!O31</f>
        <v>1111503</v>
      </c>
      <c r="I48" s="87">
        <f>'Reference VO 2017'!P31</f>
        <v>0</v>
      </c>
      <c r="J48" s="52">
        <f t="shared" si="34"/>
        <v>9.5928218457106376E-2</v>
      </c>
      <c r="K48" s="284">
        <f>'Reference VO 2017'!M31</f>
        <v>0.53</v>
      </c>
      <c r="L48" s="284">
        <f>'Reference VO 2017'!N31</f>
        <v>0</v>
      </c>
      <c r="M48" s="53"/>
      <c r="N48" s="52">
        <v>1</v>
      </c>
      <c r="O48" s="262">
        <f>N48*$J48*$C$73+VTPB_NICT!Q48</f>
        <v>0.39814968287671298</v>
      </c>
      <c r="P48" s="263">
        <f t="shared" si="59"/>
        <v>0</v>
      </c>
      <c r="Q48" s="262">
        <f t="shared" si="60"/>
        <v>0.39814968287671298</v>
      </c>
      <c r="R48" s="52">
        <f t="shared" si="35"/>
        <v>0.9</v>
      </c>
      <c r="S48" s="284">
        <f t="shared" si="36"/>
        <v>0.3583347145890417</v>
      </c>
      <c r="T48" s="263">
        <f t="shared" si="46"/>
        <v>0</v>
      </c>
      <c r="U48" s="262">
        <f t="shared" si="37"/>
        <v>0.3583347145890417</v>
      </c>
      <c r="V48" s="559">
        <f t="shared" si="57"/>
        <v>0.44789120745087113</v>
      </c>
      <c r="W48" s="560">
        <f t="shared" si="47"/>
        <v>0.40310208670578401</v>
      </c>
      <c r="X48" s="263">
        <f t="shared" si="38"/>
        <v>0</v>
      </c>
      <c r="Y48" s="263">
        <f t="shared" si="48"/>
        <v>0</v>
      </c>
      <c r="Z48" s="377">
        <f t="shared" si="39"/>
        <v>0.44789120745087113</v>
      </c>
      <c r="AA48" s="263">
        <f t="shared" si="40"/>
        <v>0</v>
      </c>
      <c r="AB48" s="263">
        <f t="shared" si="49"/>
        <v>0</v>
      </c>
      <c r="AC48" s="377">
        <f t="shared" si="50"/>
        <v>0.40310208670578401</v>
      </c>
      <c r="AD48" s="550">
        <f t="shared" si="61"/>
        <v>0.53074042545701405</v>
      </c>
      <c r="AE48" s="552">
        <f t="shared" si="54"/>
        <v>0.47766638291131264</v>
      </c>
      <c r="AF48" s="263">
        <f t="shared" si="41"/>
        <v>0</v>
      </c>
      <c r="AG48" s="263">
        <f t="shared" si="51"/>
        <v>0</v>
      </c>
      <c r="AH48" s="377">
        <f t="shared" si="42"/>
        <v>0.53074042545701405</v>
      </c>
      <c r="AI48" s="263">
        <f t="shared" si="55"/>
        <v>0</v>
      </c>
      <c r="AJ48" s="263">
        <f t="shared" si="52"/>
        <v>0</v>
      </c>
      <c r="AK48" s="377">
        <f t="shared" si="56"/>
        <v>0.47766638291131264</v>
      </c>
      <c r="AL48" s="550">
        <f t="shared" si="43"/>
        <v>0.53228218552289408</v>
      </c>
      <c r="AM48" s="552">
        <f t="shared" si="53"/>
        <v>0.47905396697060471</v>
      </c>
      <c r="AN48" s="378"/>
      <c r="AO48" s="374">
        <f>IFERROR(MAX(AL48-VTPB_NICT!Q48,0),0)</f>
        <v>0.45166245960964774</v>
      </c>
      <c r="AP48" s="374">
        <f>IFERROR(MAX(AM48-VTPB_NICT!R48,0),0)</f>
        <v>0.40649621364868299</v>
      </c>
    </row>
    <row r="49" spans="1:45" x14ac:dyDescent="0.25">
      <c r="A49">
        <f t="shared" si="58"/>
        <v>18</v>
      </c>
      <c r="B49" s="61" t="s">
        <v>119</v>
      </c>
      <c r="C49" s="55" t="s">
        <v>94</v>
      </c>
      <c r="D49" s="86">
        <f>'Reference VO 2017'!K32</f>
        <v>137.48994999999999</v>
      </c>
      <c r="E49" s="87">
        <f>'Reference VO 2017'!L32</f>
        <v>166731</v>
      </c>
      <c r="F49" s="262">
        <f t="shared" si="44"/>
        <v>1.2048569412047502E-3</v>
      </c>
      <c r="G49" s="262">
        <f t="shared" si="45"/>
        <v>0.16565572060339404</v>
      </c>
      <c r="H49" s="87">
        <f>'Reference VO 2017'!O32</f>
        <v>166731</v>
      </c>
      <c r="I49" s="87">
        <f>'Reference VO 2017'!P32</f>
        <v>0</v>
      </c>
      <c r="J49" s="52">
        <f t="shared" si="34"/>
        <v>9.5928218457106376E-2</v>
      </c>
      <c r="K49" s="284">
        <f>'Reference VO 2017'!M32</f>
        <v>0.53</v>
      </c>
      <c r="L49" s="284">
        <f>'Reference VO 2017'!N32</f>
        <v>0</v>
      </c>
      <c r="M49" s="53"/>
      <c r="N49" s="52">
        <v>1</v>
      </c>
      <c r="O49" s="262">
        <f>N49*$J49*$C$73+VTPB_NICT!Q49</f>
        <v>0.39814968287671298</v>
      </c>
      <c r="P49" s="263">
        <f t="shared" si="59"/>
        <v>0</v>
      </c>
      <c r="Q49" s="262">
        <f t="shared" si="60"/>
        <v>0.39814968287671298</v>
      </c>
      <c r="R49" s="52">
        <f t="shared" si="35"/>
        <v>0.9</v>
      </c>
      <c r="S49" s="284">
        <f t="shared" si="36"/>
        <v>0.3583347145890417</v>
      </c>
      <c r="T49" s="263">
        <f t="shared" si="46"/>
        <v>0</v>
      </c>
      <c r="U49" s="262">
        <f t="shared" si="37"/>
        <v>0.3583347145890417</v>
      </c>
      <c r="V49" s="559">
        <f t="shared" si="57"/>
        <v>0.44789120745087113</v>
      </c>
      <c r="W49" s="560">
        <f t="shared" si="47"/>
        <v>0.40310208670578401</v>
      </c>
      <c r="X49" s="263">
        <f t="shared" si="38"/>
        <v>0</v>
      </c>
      <c r="Y49" s="263">
        <f t="shared" si="48"/>
        <v>0</v>
      </c>
      <c r="Z49" s="377">
        <f t="shared" si="39"/>
        <v>0.44789120745087113</v>
      </c>
      <c r="AA49" s="263">
        <f t="shared" si="40"/>
        <v>0</v>
      </c>
      <c r="AB49" s="263">
        <f t="shared" si="49"/>
        <v>0</v>
      </c>
      <c r="AC49" s="377">
        <f t="shared" si="50"/>
        <v>0.40310208670578401</v>
      </c>
      <c r="AD49" s="550">
        <f t="shared" si="61"/>
        <v>0.53074042545701405</v>
      </c>
      <c r="AE49" s="552">
        <f t="shared" si="54"/>
        <v>0.47766638291131264</v>
      </c>
      <c r="AF49" s="263">
        <f t="shared" si="41"/>
        <v>0</v>
      </c>
      <c r="AG49" s="263">
        <f t="shared" si="51"/>
        <v>0</v>
      </c>
      <c r="AH49" s="377">
        <f t="shared" si="42"/>
        <v>0.53074042545701405</v>
      </c>
      <c r="AI49" s="263">
        <f t="shared" si="55"/>
        <v>0</v>
      </c>
      <c r="AJ49" s="263">
        <f t="shared" si="52"/>
        <v>0</v>
      </c>
      <c r="AK49" s="377">
        <f t="shared" si="56"/>
        <v>0.47766638291131264</v>
      </c>
      <c r="AL49" s="550">
        <f t="shared" si="43"/>
        <v>0.53228218552289408</v>
      </c>
      <c r="AM49" s="552">
        <f t="shared" si="53"/>
        <v>0.47905396697060471</v>
      </c>
      <c r="AN49" s="378"/>
      <c r="AO49" s="374">
        <f>IFERROR(MAX(AL49-VTPB_NICT!Q49,0),0)</f>
        <v>0.45166245960964774</v>
      </c>
      <c r="AP49" s="374">
        <f>IFERROR(MAX(AM49-VTPB_NICT!R49,0),0)</f>
        <v>0.40649621364868299</v>
      </c>
    </row>
    <row r="50" spans="1:45" x14ac:dyDescent="0.25">
      <c r="A50">
        <f t="shared" si="58"/>
        <v>19</v>
      </c>
      <c r="B50" s="61" t="s">
        <v>120</v>
      </c>
      <c r="C50" s="55" t="s">
        <v>94</v>
      </c>
      <c r="D50" s="86">
        <f>'Reference VO 2017'!K33</f>
        <v>180.23273</v>
      </c>
      <c r="E50" s="87">
        <f>'Reference VO 2017'!L33</f>
        <v>221439</v>
      </c>
      <c r="F50" s="262">
        <f t="shared" si="44"/>
        <v>1.6001962214791411E-3</v>
      </c>
      <c r="G50" s="262">
        <f t="shared" si="45"/>
        <v>0.28840773353287025</v>
      </c>
      <c r="H50" s="87">
        <f>'Reference VO 2017'!O33</f>
        <v>221439</v>
      </c>
      <c r="I50" s="87">
        <f>'Reference VO 2017'!P33</f>
        <v>0</v>
      </c>
      <c r="J50" s="52">
        <f t="shared" si="34"/>
        <v>9.5928218457106376E-2</v>
      </c>
      <c r="K50" s="284">
        <f>'Reference VO 2017'!M33</f>
        <v>0.53</v>
      </c>
      <c r="L50" s="284">
        <f>'Reference VO 2017'!N33</f>
        <v>0</v>
      </c>
      <c r="M50" s="53"/>
      <c r="N50" s="52">
        <v>1</v>
      </c>
      <c r="O50" s="262">
        <f>N50*$J50*$C$73+VTPB_NICT!Q50</f>
        <v>0.39814968287671298</v>
      </c>
      <c r="P50" s="263">
        <f t="shared" si="59"/>
        <v>0</v>
      </c>
      <c r="Q50" s="262">
        <f t="shared" si="60"/>
        <v>0.39814968287671298</v>
      </c>
      <c r="R50" s="52">
        <f t="shared" si="35"/>
        <v>0.9</v>
      </c>
      <c r="S50" s="284">
        <f t="shared" si="36"/>
        <v>0.3583347145890417</v>
      </c>
      <c r="T50" s="263">
        <f t="shared" si="46"/>
        <v>0</v>
      </c>
      <c r="U50" s="262">
        <f t="shared" si="37"/>
        <v>0.3583347145890417</v>
      </c>
      <c r="V50" s="559">
        <f t="shared" si="57"/>
        <v>0.44789120745087113</v>
      </c>
      <c r="W50" s="560">
        <f t="shared" si="47"/>
        <v>0.40310208670578401</v>
      </c>
      <c r="X50" s="263">
        <f t="shared" si="38"/>
        <v>0</v>
      </c>
      <c r="Y50" s="263">
        <f t="shared" si="48"/>
        <v>0</v>
      </c>
      <c r="Z50" s="377">
        <f t="shared" si="39"/>
        <v>0.44789120745087113</v>
      </c>
      <c r="AA50" s="263">
        <f t="shared" si="40"/>
        <v>0</v>
      </c>
      <c r="AB50" s="263">
        <f t="shared" si="49"/>
        <v>0</v>
      </c>
      <c r="AC50" s="377">
        <f t="shared" si="50"/>
        <v>0.40310208670578401</v>
      </c>
      <c r="AD50" s="550">
        <f t="shared" si="61"/>
        <v>0.53074042545701405</v>
      </c>
      <c r="AE50" s="552">
        <f t="shared" si="54"/>
        <v>0.47766638291131264</v>
      </c>
      <c r="AF50" s="263">
        <f t="shared" si="41"/>
        <v>0</v>
      </c>
      <c r="AG50" s="263">
        <f t="shared" si="51"/>
        <v>0</v>
      </c>
      <c r="AH50" s="377">
        <f t="shared" si="42"/>
        <v>0.53074042545701405</v>
      </c>
      <c r="AI50" s="263">
        <f t="shared" si="55"/>
        <v>0</v>
      </c>
      <c r="AJ50" s="263">
        <f t="shared" si="52"/>
        <v>0</v>
      </c>
      <c r="AK50" s="377">
        <f t="shared" si="56"/>
        <v>0.47766638291131264</v>
      </c>
      <c r="AL50" s="550">
        <f t="shared" si="43"/>
        <v>0.53228218552289408</v>
      </c>
      <c r="AM50" s="552">
        <f t="shared" si="53"/>
        <v>0.47905396697060471</v>
      </c>
      <c r="AN50" s="378"/>
      <c r="AO50" s="374">
        <f>IFERROR(MAX(AL50-VTPB_NICT!Q50,0),0)</f>
        <v>0.45166245960964774</v>
      </c>
      <c r="AP50" s="374">
        <f>IFERROR(MAX(AM50-VTPB_NICT!R50,0),0)</f>
        <v>0.40649621364868299</v>
      </c>
    </row>
    <row r="51" spans="1:45" x14ac:dyDescent="0.25">
      <c r="A51">
        <f t="shared" si="58"/>
        <v>20</v>
      </c>
      <c r="B51" s="61" t="s">
        <v>121</v>
      </c>
      <c r="C51" s="55" t="s">
        <v>94</v>
      </c>
      <c r="D51" s="86">
        <f>'Reference VO 2017'!K34</f>
        <v>210.69001</v>
      </c>
      <c r="E51" s="87">
        <f>'Reference VO 2017'!L34</f>
        <v>1952543</v>
      </c>
      <c r="F51" s="262">
        <f t="shared" si="44"/>
        <v>1.4109763550573959E-2</v>
      </c>
      <c r="G51" s="262">
        <f t="shared" si="45"/>
        <v>2.9727862235680629</v>
      </c>
      <c r="H51" s="87">
        <f>'Reference VO 2017'!O34</f>
        <v>1952543</v>
      </c>
      <c r="I51" s="87">
        <f>'Reference VO 2017'!P34</f>
        <v>0</v>
      </c>
      <c r="J51" s="52">
        <f t="shared" si="34"/>
        <v>9.5928218457106376E-2</v>
      </c>
      <c r="K51" s="284">
        <f>'Reference VO 2017'!M34</f>
        <v>0.53</v>
      </c>
      <c r="L51" s="284">
        <f>'Reference VO 2017'!N34</f>
        <v>0</v>
      </c>
      <c r="M51" s="53"/>
      <c r="N51" s="52">
        <v>1</v>
      </c>
      <c r="O51" s="262">
        <f>N51*$J51*$C$73+VTPB_NICT!Q51</f>
        <v>0.39814968287671298</v>
      </c>
      <c r="P51" s="263">
        <f t="shared" si="59"/>
        <v>0</v>
      </c>
      <c r="Q51" s="262">
        <f t="shared" si="60"/>
        <v>0.39814968287671298</v>
      </c>
      <c r="R51" s="52">
        <f t="shared" si="35"/>
        <v>0.9</v>
      </c>
      <c r="S51" s="284">
        <f t="shared" si="36"/>
        <v>0.3583347145890417</v>
      </c>
      <c r="T51" s="263">
        <f t="shared" si="46"/>
        <v>0</v>
      </c>
      <c r="U51" s="262">
        <f t="shared" si="37"/>
        <v>0.3583347145890417</v>
      </c>
      <c r="V51" s="559">
        <f t="shared" si="57"/>
        <v>0.44789120745087113</v>
      </c>
      <c r="W51" s="560">
        <f t="shared" si="47"/>
        <v>0.40310208670578401</v>
      </c>
      <c r="X51" s="263">
        <f t="shared" si="38"/>
        <v>0</v>
      </c>
      <c r="Y51" s="263">
        <f t="shared" si="48"/>
        <v>0</v>
      </c>
      <c r="Z51" s="377">
        <f t="shared" si="39"/>
        <v>0.44789120745087113</v>
      </c>
      <c r="AA51" s="263">
        <f t="shared" si="40"/>
        <v>0</v>
      </c>
      <c r="AB51" s="263">
        <f t="shared" si="49"/>
        <v>0</v>
      </c>
      <c r="AC51" s="377">
        <f t="shared" si="50"/>
        <v>0.40310208670578401</v>
      </c>
      <c r="AD51" s="550">
        <f t="shared" si="61"/>
        <v>0.53074042545701405</v>
      </c>
      <c r="AE51" s="552">
        <f t="shared" si="54"/>
        <v>0.47766638291131264</v>
      </c>
      <c r="AF51" s="263">
        <f t="shared" si="41"/>
        <v>0</v>
      </c>
      <c r="AG51" s="263">
        <f t="shared" si="51"/>
        <v>0</v>
      </c>
      <c r="AH51" s="377">
        <f t="shared" si="42"/>
        <v>0.53074042545701405</v>
      </c>
      <c r="AI51" s="263">
        <f t="shared" si="55"/>
        <v>0</v>
      </c>
      <c r="AJ51" s="263">
        <f t="shared" si="52"/>
        <v>0</v>
      </c>
      <c r="AK51" s="377">
        <f t="shared" si="56"/>
        <v>0.47766638291131264</v>
      </c>
      <c r="AL51" s="550">
        <f t="shared" si="43"/>
        <v>0.53228218552289408</v>
      </c>
      <c r="AM51" s="552">
        <f t="shared" si="53"/>
        <v>0.47905396697060471</v>
      </c>
      <c r="AN51" s="378"/>
      <c r="AO51" s="374">
        <f>IFERROR(MAX(AL51-VTPB_NICT!Q51,0),0)</f>
        <v>0.45166245960964774</v>
      </c>
      <c r="AP51" s="374">
        <f>IFERROR(MAX(AM51-VTPB_NICT!R51,0),0)</f>
        <v>0.40649621364868299</v>
      </c>
    </row>
    <row r="52" spans="1:45" x14ac:dyDescent="0.25">
      <c r="A52">
        <f t="shared" si="58"/>
        <v>21</v>
      </c>
      <c r="B52" s="61" t="s">
        <v>122</v>
      </c>
      <c r="C52" s="55" t="s">
        <v>94</v>
      </c>
      <c r="D52" s="86">
        <f>'Reference VO 2017'!K35</f>
        <v>231.34958</v>
      </c>
      <c r="E52" s="87">
        <f>'Reference VO 2017'!L35</f>
        <v>110456</v>
      </c>
      <c r="F52" s="262">
        <f t="shared" si="44"/>
        <v>7.9819396691504217E-4</v>
      </c>
      <c r="G52" s="262">
        <f t="shared" si="45"/>
        <v>0.18466183900432889</v>
      </c>
      <c r="H52" s="87">
        <f>'Reference VO 2017'!O35</f>
        <v>110456</v>
      </c>
      <c r="I52" s="87">
        <f>'Reference VO 2017'!P35</f>
        <v>0</v>
      </c>
      <c r="J52" s="52">
        <f t="shared" si="34"/>
        <v>9.5928218457106376E-2</v>
      </c>
      <c r="K52" s="284">
        <f>'Reference VO 2017'!M35</f>
        <v>0.53</v>
      </c>
      <c r="L52" s="284">
        <f>'Reference VO 2017'!N35</f>
        <v>0</v>
      </c>
      <c r="M52" s="53"/>
      <c r="N52" s="52">
        <v>1</v>
      </c>
      <c r="O52" s="262">
        <f>N52*$J52*$C$73+VTPB_NICT!Q52</f>
        <v>0.39814968287671298</v>
      </c>
      <c r="P52" s="263">
        <f t="shared" si="59"/>
        <v>0</v>
      </c>
      <c r="Q52" s="262">
        <f t="shared" si="60"/>
        <v>0.39814968287671298</v>
      </c>
      <c r="R52" s="52">
        <f t="shared" si="35"/>
        <v>0.9</v>
      </c>
      <c r="S52" s="284">
        <f t="shared" si="36"/>
        <v>0.3583347145890417</v>
      </c>
      <c r="T52" s="263">
        <f t="shared" si="46"/>
        <v>0</v>
      </c>
      <c r="U52" s="262">
        <f t="shared" si="37"/>
        <v>0.3583347145890417</v>
      </c>
      <c r="V52" s="559">
        <f t="shared" si="57"/>
        <v>0.44789120745087113</v>
      </c>
      <c r="W52" s="560">
        <f t="shared" si="47"/>
        <v>0.40310208670578401</v>
      </c>
      <c r="X52" s="263">
        <f t="shared" si="38"/>
        <v>0</v>
      </c>
      <c r="Y52" s="263">
        <f t="shared" si="48"/>
        <v>0</v>
      </c>
      <c r="Z52" s="377">
        <f t="shared" si="39"/>
        <v>0.44789120745087113</v>
      </c>
      <c r="AA52" s="263">
        <f t="shared" si="40"/>
        <v>0</v>
      </c>
      <c r="AB52" s="263">
        <f t="shared" si="49"/>
        <v>0</v>
      </c>
      <c r="AC52" s="377">
        <f t="shared" si="50"/>
        <v>0.40310208670578401</v>
      </c>
      <c r="AD52" s="550">
        <f t="shared" si="61"/>
        <v>0.53074042545701405</v>
      </c>
      <c r="AE52" s="552">
        <f t="shared" si="54"/>
        <v>0.47766638291131264</v>
      </c>
      <c r="AF52" s="263">
        <f t="shared" si="41"/>
        <v>0</v>
      </c>
      <c r="AG52" s="263">
        <f t="shared" si="51"/>
        <v>0</v>
      </c>
      <c r="AH52" s="377">
        <f t="shared" si="42"/>
        <v>0.53074042545701405</v>
      </c>
      <c r="AI52" s="263">
        <f t="shared" si="55"/>
        <v>0</v>
      </c>
      <c r="AJ52" s="263">
        <f t="shared" si="52"/>
        <v>0</v>
      </c>
      <c r="AK52" s="377">
        <f t="shared" si="56"/>
        <v>0.47766638291131264</v>
      </c>
      <c r="AL52" s="550">
        <f t="shared" si="43"/>
        <v>0.53228218552289408</v>
      </c>
      <c r="AM52" s="552">
        <f t="shared" si="53"/>
        <v>0.47905396697060471</v>
      </c>
      <c r="AN52" s="378"/>
      <c r="AO52" s="374">
        <f>IFERROR(MAX(AL52-VTPB_NICT!Q52,0),0)</f>
        <v>0.45166245960964774</v>
      </c>
      <c r="AP52" s="374">
        <f>IFERROR(MAX(AM52-VTPB_NICT!R52,0),0)</f>
        <v>0.40649621364868299</v>
      </c>
    </row>
    <row r="53" spans="1:45" x14ac:dyDescent="0.25">
      <c r="A53">
        <f t="shared" si="58"/>
        <v>22</v>
      </c>
      <c r="B53" s="61" t="s">
        <v>123</v>
      </c>
      <c r="C53" s="55" t="s">
        <v>98</v>
      </c>
      <c r="D53" s="86">
        <f>'Reference VO 2017'!K36</f>
        <v>268.73602</v>
      </c>
      <c r="E53" s="87">
        <f>'Reference VO 2017'!L36</f>
        <v>55223</v>
      </c>
      <c r="F53" s="262">
        <f t="shared" si="44"/>
        <v>3.9906085169614483E-4</v>
      </c>
      <c r="G53" s="262">
        <f t="shared" si="45"/>
        <v>0.10724202502263221</v>
      </c>
      <c r="H53" s="87">
        <f>'Reference VO 2017'!O36</f>
        <v>55223</v>
      </c>
      <c r="I53" s="87">
        <f>'Reference VO 2017'!P36</f>
        <v>0</v>
      </c>
      <c r="J53" s="52">
        <f t="shared" si="34"/>
        <v>0.88624017147884304</v>
      </c>
      <c r="K53" s="284">
        <f>'Reference VO 2017'!M36</f>
        <v>4.2</v>
      </c>
      <c r="L53" s="284">
        <f>'Reference VO 2017'!N36</f>
        <v>0</v>
      </c>
      <c r="M53" s="53"/>
      <c r="N53" s="52">
        <v>1</v>
      </c>
      <c r="O53" s="262">
        <f>N53*$J53*$C$73+VTPB_NICT!Q53</f>
        <v>4.287271690687871</v>
      </c>
      <c r="P53" s="263">
        <f>IF(K53=0,0,IF(O53&gt;(1+max_increase)*$K53,1,0))</f>
        <v>0</v>
      </c>
      <c r="Q53" s="262">
        <f t="shared" si="60"/>
        <v>4.287271690687871</v>
      </c>
      <c r="R53" s="52">
        <f t="shared" si="35"/>
        <v>0.9</v>
      </c>
      <c r="S53" s="284">
        <f t="shared" si="36"/>
        <v>3.8585445216190841</v>
      </c>
      <c r="T53" s="263">
        <f t="shared" si="46"/>
        <v>0</v>
      </c>
      <c r="U53" s="262">
        <f t="shared" si="37"/>
        <v>3.8585445216190841</v>
      </c>
      <c r="V53" s="559">
        <f t="shared" si="57"/>
        <v>4.8228879157659099</v>
      </c>
      <c r="W53" s="560">
        <f t="shared" si="47"/>
        <v>4.3405991241893194</v>
      </c>
      <c r="X53" s="263">
        <f t="shared" si="38"/>
        <v>1</v>
      </c>
      <c r="Y53" s="263">
        <f t="shared" si="48"/>
        <v>1</v>
      </c>
      <c r="Z53" s="377">
        <f t="shared" si="39"/>
        <v>4.620000000000001</v>
      </c>
      <c r="AA53" s="263">
        <f t="shared" si="40"/>
        <v>0</v>
      </c>
      <c r="AB53" s="263">
        <f t="shared" si="49"/>
        <v>1</v>
      </c>
      <c r="AC53" s="377">
        <f t="shared" si="50"/>
        <v>4.1580000000000013</v>
      </c>
      <c r="AD53" s="550">
        <f t="shared" si="61"/>
        <v>4.620000000000001</v>
      </c>
      <c r="AE53" s="552">
        <f t="shared" si="54"/>
        <v>4.1580000000000013</v>
      </c>
      <c r="AF53" s="263">
        <f t="shared" si="41"/>
        <v>0</v>
      </c>
      <c r="AG53" s="263">
        <f t="shared" si="51"/>
        <v>1</v>
      </c>
      <c r="AH53" s="377">
        <f t="shared" si="42"/>
        <v>4.620000000000001</v>
      </c>
      <c r="AI53" s="263">
        <f t="shared" si="55"/>
        <v>0</v>
      </c>
      <c r="AJ53" s="263">
        <f t="shared" si="52"/>
        <v>1</v>
      </c>
      <c r="AK53" s="377">
        <f t="shared" si="56"/>
        <v>4.1580000000000013</v>
      </c>
      <c r="AL53" s="550">
        <f t="shared" si="43"/>
        <v>4.620000000000001</v>
      </c>
      <c r="AM53" s="552">
        <f t="shared" si="53"/>
        <v>4.1580000000000013</v>
      </c>
      <c r="AN53" s="378"/>
      <c r="AO53" s="374">
        <f>IFERROR(MAX(AL53-VTPB_NICT!Q53,0),0)</f>
        <v>3.2662530639160305</v>
      </c>
      <c r="AP53" s="374">
        <f>IFERROR(MAX(AM53-VTPB_NICT!R53,0),0)</f>
        <v>2.9396277575244278</v>
      </c>
    </row>
    <row r="54" spans="1:45" x14ac:dyDescent="0.25">
      <c r="A54">
        <f t="shared" si="58"/>
        <v>23</v>
      </c>
      <c r="B54" s="61" t="s">
        <v>124</v>
      </c>
      <c r="C54" s="55" t="s">
        <v>98</v>
      </c>
      <c r="D54" s="86">
        <f>'Reference VO 2017'!K37</f>
        <v>300.39652000000001</v>
      </c>
      <c r="E54" s="87">
        <f>'Reference VO 2017'!L37</f>
        <v>22022</v>
      </c>
      <c r="F54" s="262">
        <f t="shared" si="44"/>
        <v>1.5913872980556111E-4</v>
      </c>
      <c r="G54" s="262">
        <f t="shared" si="45"/>
        <v>4.7804720630810836E-2</v>
      </c>
      <c r="H54" s="87">
        <f>'Reference VO 2017'!O37</f>
        <v>22022</v>
      </c>
      <c r="I54" s="87">
        <f>'Reference VO 2017'!P37</f>
        <v>0</v>
      </c>
      <c r="J54" s="52">
        <f t="shared" si="34"/>
        <v>0.88624017147884304</v>
      </c>
      <c r="K54" s="284">
        <f>'Reference VO 2017'!M37</f>
        <v>4.2</v>
      </c>
      <c r="L54" s="284">
        <f>'Reference VO 2017'!N37</f>
        <v>0</v>
      </c>
      <c r="M54" s="53"/>
      <c r="N54" s="52">
        <v>1</v>
      </c>
      <c r="O54" s="262">
        <f>N54*$J54*$C$73+VTPB_NICT!Q54</f>
        <v>4.287271690687871</v>
      </c>
      <c r="P54" s="263">
        <f>IF(K54=0,0,IF(O54&gt;(1+max_increase)*$K54,1,0))</f>
        <v>0</v>
      </c>
      <c r="Q54" s="262">
        <f t="shared" si="60"/>
        <v>4.287271690687871</v>
      </c>
      <c r="R54" s="52">
        <f t="shared" si="35"/>
        <v>0.9</v>
      </c>
      <c r="S54" s="284">
        <f t="shared" si="36"/>
        <v>3.8585445216190841</v>
      </c>
      <c r="T54" s="263">
        <f t="shared" si="46"/>
        <v>0</v>
      </c>
      <c r="U54" s="262">
        <f t="shared" si="37"/>
        <v>3.8585445216190841</v>
      </c>
      <c r="V54" s="559">
        <f t="shared" si="57"/>
        <v>4.8228879157659099</v>
      </c>
      <c r="W54" s="560">
        <f t="shared" si="47"/>
        <v>4.3405991241893194</v>
      </c>
      <c r="X54" s="263">
        <f t="shared" si="38"/>
        <v>1</v>
      </c>
      <c r="Y54" s="263">
        <f t="shared" si="48"/>
        <v>1</v>
      </c>
      <c r="Z54" s="377">
        <f t="shared" si="39"/>
        <v>4.620000000000001</v>
      </c>
      <c r="AA54" s="263">
        <f t="shared" si="40"/>
        <v>0</v>
      </c>
      <c r="AB54" s="263">
        <f t="shared" si="49"/>
        <v>1</v>
      </c>
      <c r="AC54" s="377">
        <f t="shared" si="50"/>
        <v>4.1580000000000013</v>
      </c>
      <c r="AD54" s="550">
        <f t="shared" si="61"/>
        <v>4.620000000000001</v>
      </c>
      <c r="AE54" s="552">
        <f t="shared" si="54"/>
        <v>4.1580000000000013</v>
      </c>
      <c r="AF54" s="263">
        <f t="shared" si="41"/>
        <v>0</v>
      </c>
      <c r="AG54" s="263">
        <f t="shared" si="51"/>
        <v>1</v>
      </c>
      <c r="AH54" s="377">
        <f t="shared" si="42"/>
        <v>4.620000000000001</v>
      </c>
      <c r="AI54" s="263">
        <f t="shared" si="55"/>
        <v>0</v>
      </c>
      <c r="AJ54" s="263">
        <f t="shared" si="52"/>
        <v>1</v>
      </c>
      <c r="AK54" s="377">
        <f t="shared" si="56"/>
        <v>4.1580000000000013</v>
      </c>
      <c r="AL54" s="550">
        <f t="shared" si="43"/>
        <v>4.620000000000001</v>
      </c>
      <c r="AM54" s="552">
        <f t="shared" si="53"/>
        <v>4.1580000000000013</v>
      </c>
      <c r="AN54" s="378"/>
      <c r="AO54" s="374">
        <f>IFERROR(MAX(AL54-VTPB_NICT!Q54,0),0)</f>
        <v>3.2662530639160305</v>
      </c>
      <c r="AP54" s="374">
        <f>IFERROR(MAX(AM54-VTPB_NICT!R54,0),0)</f>
        <v>2.9396277575244278</v>
      </c>
    </row>
    <row r="55" spans="1:45" x14ac:dyDescent="0.25">
      <c r="A55">
        <f t="shared" si="58"/>
        <v>24</v>
      </c>
      <c r="B55" s="61" t="s">
        <v>125</v>
      </c>
      <c r="C55" s="55" t="s">
        <v>98</v>
      </c>
      <c r="D55" s="86">
        <f>'Reference VO 2017'!K38</f>
        <v>320.51218999999998</v>
      </c>
      <c r="E55" s="87">
        <f>'Reference VO 2017'!L38</f>
        <v>110087</v>
      </c>
      <c r="F55" s="262">
        <f t="shared" si="44"/>
        <v>7.9552744292547481E-4</v>
      </c>
      <c r="G55" s="262">
        <f t="shared" si="45"/>
        <v>0.25497624293714394</v>
      </c>
      <c r="H55" s="87">
        <f>'Reference VO 2017'!O38</f>
        <v>110087</v>
      </c>
      <c r="I55" s="87">
        <f>'Reference VO 2017'!P38</f>
        <v>0</v>
      </c>
      <c r="J55" s="52">
        <f t="shared" si="34"/>
        <v>0.88624017147884304</v>
      </c>
      <c r="K55" s="284">
        <f>'Reference VO 2017'!M38</f>
        <v>4.2</v>
      </c>
      <c r="L55" s="284">
        <f>'Reference VO 2017'!N38</f>
        <v>0</v>
      </c>
      <c r="M55" s="53"/>
      <c r="N55" s="52">
        <v>1</v>
      </c>
      <c r="O55" s="262">
        <f>N55*$J55*$C$73+VTPB_NICT!Q55</f>
        <v>4.287271690687871</v>
      </c>
      <c r="P55" s="263">
        <f>IF(K55=0,0,IF(O55&gt;(1+max_increase)*$K55,1,0))</f>
        <v>0</v>
      </c>
      <c r="Q55" s="262">
        <f t="shared" si="60"/>
        <v>4.287271690687871</v>
      </c>
      <c r="R55" s="52">
        <f t="shared" si="35"/>
        <v>0.9</v>
      </c>
      <c r="S55" s="284">
        <f t="shared" si="36"/>
        <v>3.8585445216190841</v>
      </c>
      <c r="T55" s="263">
        <f t="shared" si="46"/>
        <v>0</v>
      </c>
      <c r="U55" s="262">
        <f t="shared" si="37"/>
        <v>3.8585445216190841</v>
      </c>
      <c r="V55" s="559">
        <f t="shared" si="57"/>
        <v>4.8228879157659099</v>
      </c>
      <c r="W55" s="560">
        <f t="shared" si="47"/>
        <v>4.3405991241893194</v>
      </c>
      <c r="X55" s="263">
        <f t="shared" si="38"/>
        <v>1</v>
      </c>
      <c r="Y55" s="263">
        <f t="shared" si="48"/>
        <v>1</v>
      </c>
      <c r="Z55" s="377">
        <f t="shared" si="39"/>
        <v>4.620000000000001</v>
      </c>
      <c r="AA55" s="263">
        <f t="shared" si="40"/>
        <v>0</v>
      </c>
      <c r="AB55" s="263">
        <f t="shared" si="49"/>
        <v>1</v>
      </c>
      <c r="AC55" s="377">
        <f t="shared" si="50"/>
        <v>4.1580000000000013</v>
      </c>
      <c r="AD55" s="550">
        <f t="shared" si="61"/>
        <v>4.620000000000001</v>
      </c>
      <c r="AE55" s="552">
        <f t="shared" si="54"/>
        <v>4.1580000000000013</v>
      </c>
      <c r="AF55" s="263">
        <f t="shared" si="41"/>
        <v>0</v>
      </c>
      <c r="AG55" s="263">
        <f t="shared" si="51"/>
        <v>1</v>
      </c>
      <c r="AH55" s="377">
        <f t="shared" si="42"/>
        <v>4.620000000000001</v>
      </c>
      <c r="AI55" s="263">
        <f t="shared" si="55"/>
        <v>0</v>
      </c>
      <c r="AJ55" s="263">
        <f t="shared" si="52"/>
        <v>1</v>
      </c>
      <c r="AK55" s="377">
        <f t="shared" si="56"/>
        <v>4.1580000000000013</v>
      </c>
      <c r="AL55" s="550">
        <f t="shared" si="43"/>
        <v>4.620000000000001</v>
      </c>
      <c r="AM55" s="552">
        <f t="shared" si="53"/>
        <v>4.1580000000000013</v>
      </c>
      <c r="AN55" s="378"/>
      <c r="AO55" s="374">
        <f>IFERROR(MAX(AL55-VTPB_NICT!Q55,0),0)</f>
        <v>3.2662530639160305</v>
      </c>
      <c r="AP55" s="374">
        <f>IFERROR(MAX(AM55-VTPB_NICT!R55,0),0)</f>
        <v>2.9396277575244278</v>
      </c>
    </row>
    <row r="56" spans="1:45" x14ac:dyDescent="0.25">
      <c r="A56">
        <f t="shared" si="58"/>
        <v>25</v>
      </c>
      <c r="B56" s="61" t="s">
        <v>126</v>
      </c>
      <c r="C56" s="55" t="s">
        <v>98</v>
      </c>
      <c r="D56" s="86">
        <f>'Reference VO 2017'!K39</f>
        <v>361.42469</v>
      </c>
      <c r="E56" s="87">
        <f>'Reference VO 2017'!L39</f>
        <v>284539</v>
      </c>
      <c r="F56" s="262">
        <f t="shared" si="44"/>
        <v>2.0561790500474323E-3</v>
      </c>
      <c r="G56" s="262">
        <f t="shared" si="45"/>
        <v>0.74315387574788772</v>
      </c>
      <c r="H56" s="87">
        <f>'Reference VO 2017'!O39</f>
        <v>284539</v>
      </c>
      <c r="I56" s="87">
        <f>'Reference VO 2017'!P39</f>
        <v>0</v>
      </c>
      <c r="J56" s="52">
        <f t="shared" si="34"/>
        <v>0.88624017147884304</v>
      </c>
      <c r="K56" s="284">
        <f>'Reference VO 2017'!M39</f>
        <v>4.2</v>
      </c>
      <c r="L56" s="284">
        <f>'Reference VO 2017'!N39</f>
        <v>0</v>
      </c>
      <c r="M56" s="53"/>
      <c r="N56" s="52">
        <v>1</v>
      </c>
      <c r="O56" s="262">
        <f>N56*$J56*$C$73+VTPB_NICT!Q56</f>
        <v>4.287271690687871</v>
      </c>
      <c r="P56" s="263">
        <f>IF(K56=0,0,IF(O56&gt;(1+max_increase)*$K56,1,0))</f>
        <v>0</v>
      </c>
      <c r="Q56" s="262">
        <f t="shared" si="60"/>
        <v>4.287271690687871</v>
      </c>
      <c r="R56" s="52">
        <f t="shared" si="35"/>
        <v>0.9</v>
      </c>
      <c r="S56" s="284">
        <f t="shared" si="36"/>
        <v>3.8585445216190841</v>
      </c>
      <c r="T56" s="263">
        <f t="shared" si="46"/>
        <v>0</v>
      </c>
      <c r="U56" s="262">
        <f t="shared" si="37"/>
        <v>3.8585445216190841</v>
      </c>
      <c r="V56" s="559">
        <f t="shared" si="57"/>
        <v>4.8228879157659099</v>
      </c>
      <c r="W56" s="560">
        <f t="shared" si="47"/>
        <v>4.3405991241893194</v>
      </c>
      <c r="X56" s="263">
        <f t="shared" si="38"/>
        <v>1</v>
      </c>
      <c r="Y56" s="263">
        <f t="shared" si="48"/>
        <v>1</v>
      </c>
      <c r="Z56" s="377">
        <f t="shared" si="39"/>
        <v>4.620000000000001</v>
      </c>
      <c r="AA56" s="263">
        <f t="shared" si="40"/>
        <v>0</v>
      </c>
      <c r="AB56" s="263">
        <f t="shared" si="49"/>
        <v>1</v>
      </c>
      <c r="AC56" s="377">
        <f t="shared" si="50"/>
        <v>4.1580000000000013</v>
      </c>
      <c r="AD56" s="550">
        <f t="shared" si="61"/>
        <v>4.620000000000001</v>
      </c>
      <c r="AE56" s="552">
        <f t="shared" si="54"/>
        <v>4.1580000000000013</v>
      </c>
      <c r="AF56" s="263">
        <f t="shared" si="41"/>
        <v>0</v>
      </c>
      <c r="AG56" s="263">
        <f t="shared" si="51"/>
        <v>1</v>
      </c>
      <c r="AH56" s="377">
        <f t="shared" si="42"/>
        <v>4.620000000000001</v>
      </c>
      <c r="AI56" s="263">
        <f t="shared" si="55"/>
        <v>0</v>
      </c>
      <c r="AJ56" s="263">
        <f t="shared" si="52"/>
        <v>1</v>
      </c>
      <c r="AK56" s="377">
        <f t="shared" si="56"/>
        <v>4.1580000000000013</v>
      </c>
      <c r="AL56" s="550">
        <f t="shared" si="43"/>
        <v>4.620000000000001</v>
      </c>
      <c r="AM56" s="552">
        <f t="shared" si="53"/>
        <v>4.1580000000000013</v>
      </c>
      <c r="AN56" s="378"/>
      <c r="AO56" s="374">
        <f>IFERROR(MAX(AL56-VTPB_NICT!Q56,0),0)</f>
        <v>3.2662530639160305</v>
      </c>
      <c r="AP56" s="374">
        <f>IFERROR(MAX(AM56-VTPB_NICT!R56,0),0)</f>
        <v>2.9396277575244278</v>
      </c>
    </row>
    <row r="57" spans="1:45" x14ac:dyDescent="0.25">
      <c r="A57">
        <v>26</v>
      </c>
      <c r="B57" s="55" t="s">
        <v>89</v>
      </c>
      <c r="C57" s="262"/>
      <c r="D57" s="53"/>
      <c r="E57" s="53"/>
      <c r="F57" s="53"/>
      <c r="G57" s="53"/>
      <c r="H57" s="68"/>
      <c r="I57" s="68"/>
      <c r="J57" s="224"/>
      <c r="K57" s="481"/>
      <c r="L57" s="482"/>
      <c r="M57" s="53"/>
      <c r="N57" s="53"/>
      <c r="O57" s="53"/>
      <c r="P57" s="53"/>
      <c r="Q57" s="53"/>
      <c r="R57" s="53"/>
      <c r="S57" s="53"/>
      <c r="T57" s="53"/>
      <c r="U57" s="53"/>
      <c r="V57" s="559">
        <f>V41</f>
        <v>0.44789120745087113</v>
      </c>
      <c r="W57" s="560">
        <f>W41</f>
        <v>0.40310208670578401</v>
      </c>
      <c r="X57" s="55"/>
      <c r="Y57" s="516"/>
      <c r="Z57" s="86">
        <f>Z41</f>
        <v>0.44789120745087113</v>
      </c>
      <c r="AA57" s="55"/>
      <c r="AB57" s="55"/>
      <c r="AC57" s="86">
        <f>AC41</f>
        <v>0.40310208670578401</v>
      </c>
      <c r="AD57" s="559">
        <f>AD41</f>
        <v>0.53074042545701405</v>
      </c>
      <c r="AE57" s="560">
        <f>AE41</f>
        <v>0.47766638291131264</v>
      </c>
      <c r="AF57" s="55"/>
      <c r="AG57" s="516"/>
      <c r="AH57" s="86">
        <f>AH41</f>
        <v>0.53074042545701405</v>
      </c>
      <c r="AI57" s="55"/>
      <c r="AJ57" s="55"/>
      <c r="AK57" s="86">
        <f>AK41</f>
        <v>0.47766638291131264</v>
      </c>
      <c r="AL57" s="559">
        <f>AL41</f>
        <v>0.53228218552289408</v>
      </c>
      <c r="AM57" s="560">
        <f>AM41</f>
        <v>0.47905396697060471</v>
      </c>
      <c r="AN57" s="86"/>
      <c r="AO57" s="374">
        <f>IFERROR(MAX(AL57-VTPB_NICT!Q57,0),0)</f>
        <v>0.45166245960964774</v>
      </c>
      <c r="AP57" s="374">
        <f>IFERROR(MAX(AM57-VTPB_NICT!R57,0),0)</f>
        <v>0.40649621364868299</v>
      </c>
    </row>
    <row r="58" spans="1:45" x14ac:dyDescent="0.25">
      <c r="A58">
        <v>27</v>
      </c>
      <c r="B58" s="55" t="s">
        <v>90</v>
      </c>
      <c r="C58" s="262"/>
      <c r="D58" s="53"/>
      <c r="E58" s="53"/>
      <c r="F58" s="53"/>
      <c r="G58" s="53"/>
      <c r="H58" s="68"/>
      <c r="I58" s="68"/>
      <c r="J58" s="224"/>
      <c r="K58" s="481"/>
      <c r="L58" s="482"/>
      <c r="M58" s="53"/>
      <c r="N58" s="53"/>
      <c r="O58" s="53"/>
      <c r="P58" s="53"/>
      <c r="Q58" s="53"/>
      <c r="R58" s="53"/>
      <c r="S58" s="53"/>
      <c r="T58" s="53"/>
      <c r="U58" s="53"/>
      <c r="V58" s="559">
        <f>V53</f>
        <v>4.8228879157659099</v>
      </c>
      <c r="W58" s="560">
        <f>W53</f>
        <v>4.3405991241893194</v>
      </c>
      <c r="X58" s="55"/>
      <c r="Y58" s="516"/>
      <c r="Z58" s="86">
        <f>Z53</f>
        <v>4.620000000000001</v>
      </c>
      <c r="AA58" s="55"/>
      <c r="AB58" s="55"/>
      <c r="AC58" s="86">
        <f>AC53</f>
        <v>4.1580000000000013</v>
      </c>
      <c r="AD58" s="559">
        <f>AD53</f>
        <v>4.620000000000001</v>
      </c>
      <c r="AE58" s="560">
        <f>AE53</f>
        <v>4.1580000000000013</v>
      </c>
      <c r="AF58" s="55"/>
      <c r="AG58" s="516"/>
      <c r="AH58" s="86">
        <f>AH53</f>
        <v>4.620000000000001</v>
      </c>
      <c r="AI58" s="55"/>
      <c r="AJ58" s="55"/>
      <c r="AK58" s="86">
        <f>AK53</f>
        <v>4.1580000000000013</v>
      </c>
      <c r="AL58" s="559">
        <f>AL53</f>
        <v>4.620000000000001</v>
      </c>
      <c r="AM58" s="560">
        <f>AM53</f>
        <v>4.1580000000000013</v>
      </c>
      <c r="AN58" s="86"/>
      <c r="AO58" s="374">
        <f>IFERROR(MAX(AL58-VTPB_NICT!Q58,0),0)</f>
        <v>3.2662530639160305</v>
      </c>
      <c r="AP58" s="374">
        <f>IFERROR(MAX(AM58-VTPB_NICT!R58,0),0)</f>
        <v>2.9396277575244278</v>
      </c>
    </row>
    <row r="59" spans="1:45" x14ac:dyDescent="0.25">
      <c r="C59" s="39"/>
      <c r="D59" s="38"/>
      <c r="E59" s="39"/>
      <c r="F59" s="39"/>
      <c r="G59" s="37"/>
      <c r="H59" s="56"/>
      <c r="I59" s="56"/>
      <c r="J59" s="225"/>
      <c r="K59" s="40"/>
      <c r="P59" s="29" t="s">
        <v>262</v>
      </c>
      <c r="Q59" s="81">
        <f>SUMPRODUCT(Q32:Q56,$H32:$H56)</f>
        <v>312394865.47926915</v>
      </c>
      <c r="T59" s="29"/>
      <c r="U59" s="81">
        <f>SUMPRODUCT(U32:U56,$I32:$I56)</f>
        <v>16992141.152531128</v>
      </c>
      <c r="V59" s="561">
        <f>SUMPRODUCT(V32:V56,$H$32:$H$56)</f>
        <v>348187206.73744446</v>
      </c>
      <c r="W59" s="562">
        <f>SUMPRODUCT(W32:W56,$I$32:$I$56)</f>
        <v>19114998.567861315</v>
      </c>
      <c r="X59" s="263"/>
      <c r="Y59" s="263"/>
      <c r="Z59" s="81">
        <f>SUMPRODUCT(Z32:Z56,$H32:$H56)</f>
        <v>331146120.01254654</v>
      </c>
      <c r="AA59" s="263"/>
      <c r="AB59" s="263"/>
      <c r="AC59" s="81">
        <f>SUMPRODUCT(AC32:AC56,I32:I56)</f>
        <v>19114998.567861315</v>
      </c>
      <c r="AD59" s="561">
        <f>SUMPRODUCT(AD32:AD56,$H32:$H56)</f>
        <v>341459652.44255686</v>
      </c>
      <c r="AE59" s="562">
        <f>SUMPRODUCT(AE32:AE56,$I$32:$I$56)</f>
        <v>22650818.555373717</v>
      </c>
      <c r="AF59" s="263"/>
      <c r="AG59" s="263"/>
      <c r="AH59" s="81">
        <f>SUMPRODUCT(AH32:AH56,$H32:$H56)</f>
        <v>341459652.44255686</v>
      </c>
      <c r="AI59" s="263"/>
      <c r="AJ59" s="263"/>
      <c r="AK59" s="81">
        <f>SUMPRODUCT(AK32:AK56,$I$32:$I$56)</f>
        <v>22650818.555373717</v>
      </c>
      <c r="AL59" s="561">
        <f>SUMPRODUCT(AL32:AL56,$H32:$H56)</f>
        <v>341726815.78723651</v>
      </c>
      <c r="AM59" s="562">
        <f>SUMPRODUCT(AM32:AM56,$I$32:$I$56)</f>
        <v>22716617.439033464</v>
      </c>
      <c r="AN59" s="81"/>
      <c r="AO59" s="263"/>
      <c r="AP59" s="263"/>
    </row>
    <row r="60" spans="1:45" ht="15.75" thickBot="1" x14ac:dyDescent="0.3">
      <c r="A60" s="33" t="s">
        <v>129</v>
      </c>
      <c r="H60" s="56"/>
      <c r="J60" s="225"/>
      <c r="U60" s="46">
        <f>Q59+U59-$C$71</f>
        <v>-3774985.273242712</v>
      </c>
      <c r="V60" s="546"/>
      <c r="W60" s="547">
        <f>V59+W59-$C$71</f>
        <v>34140213.400262773</v>
      </c>
      <c r="X60" s="263"/>
      <c r="Y60" s="263"/>
      <c r="Z60" s="46">
        <f>AC59+Z59-V59-W59</f>
        <v>-17041086.724897917</v>
      </c>
      <c r="AA60" s="517"/>
      <c r="AB60" s="517"/>
      <c r="AC60" s="46"/>
      <c r="AD60" s="563"/>
      <c r="AE60" s="547">
        <f>AD59+AE59-$C$71</f>
        <v>30948479.09288758</v>
      </c>
      <c r="AF60" s="263"/>
      <c r="AG60" s="263"/>
      <c r="AH60" s="46">
        <f>AK59+AH59-AD59-AE59</f>
        <v>0</v>
      </c>
      <c r="AI60" s="517"/>
      <c r="AJ60" s="517"/>
      <c r="AK60" s="46"/>
      <c r="AL60" s="563"/>
      <c r="AM60" s="547">
        <f>AL59+AM59-$C$71</f>
        <v>31281441.321226954</v>
      </c>
      <c r="AN60" s="46"/>
      <c r="AO60" s="80"/>
      <c r="AP60" s="80"/>
    </row>
    <row r="61" spans="1:45" ht="45.75" thickBot="1" x14ac:dyDescent="0.3">
      <c r="A61" s="35" t="s">
        <v>62</v>
      </c>
      <c r="B61" s="35" t="s">
        <v>137</v>
      </c>
      <c r="C61" s="35" t="str">
        <f>+E31</f>
        <v>Relevant technical capacity (TVK)</v>
      </c>
      <c r="D61" s="35" t="s">
        <v>77</v>
      </c>
      <c r="E61" s="35" t="s">
        <v>78</v>
      </c>
      <c r="F61" s="35" t="s">
        <v>67</v>
      </c>
      <c r="G61" s="35" t="s">
        <v>68</v>
      </c>
      <c r="H61" s="56"/>
      <c r="O61" s="643" t="s">
        <v>364</v>
      </c>
      <c r="P61" s="643"/>
      <c r="Q61" s="643"/>
      <c r="R61" s="643"/>
      <c r="S61" s="643"/>
      <c r="T61" s="643"/>
      <c r="U61" s="643"/>
      <c r="V61" s="643"/>
      <c r="W61" s="643"/>
      <c r="X61" s="518"/>
      <c r="Y61" s="565"/>
      <c r="Z61" s="565"/>
      <c r="AA61" s="565"/>
      <c r="AB61" s="565"/>
      <c r="AC61" s="565"/>
      <c r="AD61" s="565"/>
      <c r="AE61" s="565"/>
      <c r="AF61" s="565"/>
      <c r="AG61" s="565"/>
      <c r="AH61" s="565"/>
      <c r="AI61" s="565"/>
      <c r="AJ61" s="565"/>
      <c r="AK61" s="565"/>
      <c r="AL61" s="565"/>
      <c r="AM61" s="565"/>
      <c r="AN61" s="565"/>
      <c r="AO61" s="565"/>
    </row>
    <row r="62" spans="1:45" ht="15.75" thickBot="1" x14ac:dyDescent="0.3">
      <c r="A62">
        <f>1</f>
        <v>1</v>
      </c>
      <c r="B62" t="s">
        <v>97</v>
      </c>
      <c r="C62" s="67">
        <f>SUMIF($C$32:$C$56,$B62,E$32:E$56)</f>
        <v>50014969</v>
      </c>
      <c r="D62" s="46">
        <f>+SUMPRODUCT(($C$32:$C$56=B62)*$D$32:$D$56*$E$32:$E$56)/C62</f>
        <v>381.59447</v>
      </c>
      <c r="E62" s="37">
        <f>D62/$D$32</f>
        <v>1</v>
      </c>
      <c r="F62" s="46">
        <f>SUMIF($C$32:$C$56,$B62,H$32:H$56)</f>
        <v>48558893.100000009</v>
      </c>
      <c r="G62" s="46">
        <f>SUMIF($C$32:$C$56,$B62,I$32:I$56)</f>
        <v>0</v>
      </c>
      <c r="H62" s="56"/>
      <c r="O62" s="519"/>
      <c r="P62" s="518"/>
      <c r="Q62" s="518"/>
      <c r="R62" s="520" t="s">
        <v>269</v>
      </c>
      <c r="S62" s="521">
        <f>U60+U20</f>
        <v>-39831471.80565156</v>
      </c>
      <c r="T62" s="518"/>
      <c r="U62" s="522">
        <f>W60+W20</f>
        <v>0</v>
      </c>
      <c r="V62" s="523" t="b">
        <f>ABS(U62)&lt;0.001</f>
        <v>1</v>
      </c>
      <c r="W62" s="523"/>
      <c r="X62" s="518"/>
      <c r="Y62" s="519"/>
      <c r="Z62" s="518"/>
      <c r="AA62" s="520" t="s">
        <v>269</v>
      </c>
      <c r="AB62" s="521">
        <f>Z60+Z20</f>
        <v>-17041086.724897917</v>
      </c>
      <c r="AC62" s="89"/>
      <c r="AD62" s="522">
        <f>AE60+AE20</f>
        <v>2.9802322387695313E-8</v>
      </c>
      <c r="AE62" s="523" t="b">
        <f>ABS(AD62)&lt;0.001</f>
        <v>1</v>
      </c>
      <c r="AF62" s="518"/>
      <c r="AG62" s="519"/>
      <c r="AH62" s="518"/>
      <c r="AI62" s="520" t="s">
        <v>269</v>
      </c>
      <c r="AJ62" s="521">
        <f>AH60+AH20</f>
        <v>-332962.22833941877</v>
      </c>
      <c r="AK62" s="89"/>
      <c r="AL62" s="522">
        <f>AM60+AM20</f>
        <v>0</v>
      </c>
      <c r="AM62" s="523" t="b">
        <f>ABS(AL62)&lt;0.001</f>
        <v>1</v>
      </c>
      <c r="AN62" s="523"/>
      <c r="AO62" s="523"/>
      <c r="AP62" s="375"/>
      <c r="AQ62" s="376"/>
      <c r="AR62" s="376"/>
      <c r="AS62" s="376"/>
    </row>
    <row r="63" spans="1:45" ht="15.75" thickBot="1" x14ac:dyDescent="0.3">
      <c r="A63">
        <v>2</v>
      </c>
      <c r="B63" t="s">
        <v>93</v>
      </c>
      <c r="C63" s="67">
        <f t="shared" ref="C63:C68" si="62">SUMIF($C$32:$C$56,$B63,E$32:E$56)</f>
        <v>4688610</v>
      </c>
      <c r="D63" s="46">
        <f>+SUMPRODUCT(($C$32:$C$56=B63)*$D$32:$D$56*$E$32:$E$56)/C63</f>
        <v>238</v>
      </c>
      <c r="E63" s="37">
        <f>D63/$D$32</f>
        <v>0.62369876586523909</v>
      </c>
      <c r="F63" s="46">
        <f>SUMIF($C$32:$C$56,$B63,H$32:H$56)</f>
        <v>3382423.6799999997</v>
      </c>
      <c r="G63" s="46">
        <f t="shared" ref="F63:G68" si="63">SUMIF($C$32:$C$56,$B63,I$32:I$56)</f>
        <v>0</v>
      </c>
      <c r="H63" s="56"/>
      <c r="O63" s="58"/>
      <c r="R63" s="265" t="s">
        <v>265</v>
      </c>
      <c r="S63" s="268">
        <f>1-S62/(SUMPRODUCT((1-P9:P18)*Q9:Q18*H9:H18)+SUMPRODUCT((1-T9:T18)*U9:U18*I9:I18)+SUMPRODUCT((1-P32:P56)*Q32:Q56*H32:H56)+SUMPRODUCT((1-T32:T56)*U32:U56*I32:I56))</f>
        <v>1.1249317196858364</v>
      </c>
      <c r="Y63" s="58"/>
      <c r="AA63" s="265" t="s">
        <v>265</v>
      </c>
      <c r="AB63" s="379">
        <f>1-AB62/(SUMPRODUCT((1-Y9:Y18)*Z9:Z18*H9:H18)+SUMPRODUCT((1-AB9:AB18)*AC9:AC18*I9:I18)+SUMPRODUCT((1-Y32:Y56)*Z32:Z56*H32:H56)+SUMPRODUCT((1-AB32:AB56)*AC32:AC56*I32:I56))</f>
        <v>1.1849762099097036</v>
      </c>
      <c r="AG63" s="58"/>
      <c r="AI63" s="265" t="s">
        <v>265</v>
      </c>
      <c r="AJ63" s="564">
        <f>1-AJ62/(SUMPRODUCT((1-AG9:AG18)*AH9:AH18*H9:H18)+SUMPRODUCT((1-AJ9:AJ18)*AK9:AK18*I9:I18)+SUMPRODUCT((1-AG32:AG56)*AH32:AH56*H32:H56)+SUMPRODUCT((1-AJ32:AJ56)*AK32:AK56*I32:I56))</f>
        <v>1.0029049229942348</v>
      </c>
      <c r="AP63" s="376"/>
      <c r="AQ63" s="376"/>
      <c r="AR63" s="376"/>
      <c r="AS63" s="376"/>
    </row>
    <row r="64" spans="1:45" x14ac:dyDescent="0.25">
      <c r="A64">
        <v>3</v>
      </c>
      <c r="B64" t="str">
        <f>+C33</f>
        <v>Exit East</v>
      </c>
      <c r="C64" s="67">
        <f t="shared" si="62"/>
        <v>17769300</v>
      </c>
      <c r="D64" s="46">
        <f>+SUMPRODUCT(($C$32:$C$56=B64)*$D$32:$D$56*$E$32:$E$56)/C64</f>
        <v>158.67309348145398</v>
      </c>
      <c r="E64" s="37">
        <f t="shared" ref="E64:E68" si="64">D64/$D$32</f>
        <v>0.41581601924538891</v>
      </c>
      <c r="F64" s="46">
        <f t="shared" si="63"/>
        <v>11814771.27</v>
      </c>
      <c r="G64" s="46">
        <f t="shared" si="63"/>
        <v>0</v>
      </c>
      <c r="H64" s="56"/>
      <c r="AA64" s="283"/>
    </row>
    <row r="65" spans="1:37" x14ac:dyDescent="0.25">
      <c r="A65">
        <v>5</v>
      </c>
      <c r="B65" t="s">
        <v>92</v>
      </c>
      <c r="C65" s="67">
        <f t="shared" si="62"/>
        <v>23213575</v>
      </c>
      <c r="D65" s="46">
        <f>+SUMPRODUCT(($C$32:$C$56=B65)*$D$32:$D$56*$E$32:$E$56)/C65</f>
        <v>272.9111694342642</v>
      </c>
      <c r="E65" s="37">
        <f t="shared" si="64"/>
        <v>0.71518638473525098</v>
      </c>
      <c r="F65" s="46">
        <f t="shared" si="63"/>
        <v>15925865.369999997</v>
      </c>
      <c r="G65" s="46">
        <f t="shared" si="63"/>
        <v>6468513.7800000003</v>
      </c>
      <c r="H65" s="56"/>
      <c r="R65" s="29" t="s">
        <v>274</v>
      </c>
      <c r="S65" s="38">
        <f>SUM(Overview!R9:R14,Overview!R21,Overview!R23,Overview!R30:R31)*1000+SUM(Overview!R46:R47,Overview!R51)*1000</f>
        <v>89821566.77373001</v>
      </c>
      <c r="T65" s="58">
        <f>S65/S67</f>
        <v>0.19772944597036973</v>
      </c>
      <c r="U65" s="38"/>
      <c r="V65" s="58"/>
      <c r="AA65" s="29"/>
      <c r="AB65" s="38"/>
      <c r="AC65" s="58"/>
      <c r="AI65" s="29"/>
      <c r="AJ65" s="38"/>
      <c r="AK65" s="58"/>
    </row>
    <row r="66" spans="1:37" x14ac:dyDescent="0.25">
      <c r="A66">
        <v>6</v>
      </c>
      <c r="B66" t="s">
        <v>94</v>
      </c>
      <c r="C66" s="67">
        <f t="shared" si="62"/>
        <v>31999754</v>
      </c>
      <c r="D66" s="46">
        <f t="shared" ref="D66" si="65">+SUMPRODUCT(($C$32:$C$56=B66)*$D$32:$D$56*$E$32:$E$56)/C66</f>
        <v>36.605677680183724</v>
      </c>
      <c r="E66" s="37">
        <f t="shared" si="64"/>
        <v>9.5928218457106376E-2</v>
      </c>
      <c r="F66" s="46">
        <f>SUMIF($C$32:$C$56,$B66,H$32:H$56)</f>
        <v>25004944.456849314</v>
      </c>
      <c r="G66" s="46">
        <f t="shared" si="63"/>
        <v>7014292</v>
      </c>
      <c r="H66" s="56"/>
      <c r="S66" s="38">
        <f>SUM(Overview!R15:'Overview'!R20,Overview!R22,Overview!R24:'Overview'!R26,Overview!R29,Overview!R32)*1000+SUM(Overview!R48:R50)*1000</f>
        <v>364443433.22626996</v>
      </c>
      <c r="T66" s="58">
        <f>1-T65</f>
        <v>0.80227055402963021</v>
      </c>
      <c r="U66" s="38"/>
      <c r="V66" s="58"/>
      <c r="AA66" s="283"/>
      <c r="AB66" s="38"/>
      <c r="AC66" s="58"/>
      <c r="AJ66" s="38"/>
      <c r="AK66" s="58"/>
    </row>
    <row r="67" spans="1:37" x14ac:dyDescent="0.25">
      <c r="A67">
        <v>7</v>
      </c>
      <c r="B67" t="s">
        <v>98</v>
      </c>
      <c r="C67" s="67">
        <f t="shared" si="62"/>
        <v>471871</v>
      </c>
      <c r="D67" s="46">
        <f>+SUMPRODUCT(($C$32:$C$56=B67)*$D$32:$D$56*$E$32:$E$56)/C67</f>
        <v>338.18434852817825</v>
      </c>
      <c r="E67" s="37">
        <f t="shared" si="64"/>
        <v>0.88624017147884304</v>
      </c>
      <c r="F67" s="46">
        <f t="shared" si="63"/>
        <v>471871</v>
      </c>
      <c r="G67" s="46">
        <f t="shared" si="63"/>
        <v>0</v>
      </c>
      <c r="H67" s="56"/>
      <c r="S67" s="38">
        <f>S66+S65</f>
        <v>454265000</v>
      </c>
      <c r="U67" s="38"/>
      <c r="AA67" s="283"/>
      <c r="AB67" s="38"/>
      <c r="AJ67" s="38"/>
    </row>
    <row r="68" spans="1:37" x14ac:dyDescent="0.25">
      <c r="A68">
        <v>8</v>
      </c>
      <c r="B68" t="s">
        <v>96</v>
      </c>
      <c r="C68" s="67">
        <f t="shared" si="62"/>
        <v>10224325</v>
      </c>
      <c r="D68" s="46">
        <f>+SUMPRODUCT(($C$32:$C$56=B68)*$D$32:$D$56*$E$32:$E$56)/C68</f>
        <v>97.817953752448204</v>
      </c>
      <c r="E68" s="37">
        <f t="shared" si="64"/>
        <v>0.25634007157506294</v>
      </c>
      <c r="F68" s="46">
        <f t="shared" si="63"/>
        <v>8700218</v>
      </c>
      <c r="G68" s="46">
        <f t="shared" si="63"/>
        <v>0</v>
      </c>
      <c r="H68" s="56"/>
      <c r="Z68" s="38"/>
      <c r="AH68" s="38"/>
    </row>
    <row r="69" spans="1:37" x14ac:dyDescent="0.25">
      <c r="F69" s="38"/>
      <c r="G69" s="38"/>
      <c r="H69" s="56"/>
    </row>
    <row r="70" spans="1:37" x14ac:dyDescent="0.25">
      <c r="B70" s="29" t="s">
        <v>403</v>
      </c>
      <c r="C70" s="54">
        <f>1-EX_split_entry_theor</f>
        <v>0.73340889547960553</v>
      </c>
      <c r="R70" s="29"/>
      <c r="S70" s="38"/>
      <c r="T70" s="58"/>
      <c r="V70" s="53"/>
    </row>
    <row r="71" spans="1:37" x14ac:dyDescent="0.25">
      <c r="B71" s="29" t="s">
        <v>386</v>
      </c>
      <c r="C71" s="465">
        <f>costs_capacity-C25</f>
        <v>333161991.90504301</v>
      </c>
      <c r="S71" s="38"/>
      <c r="T71" s="58"/>
    </row>
    <row r="72" spans="1:37" x14ac:dyDescent="0.25">
      <c r="B72" s="29" t="s">
        <v>387</v>
      </c>
      <c r="C72" s="465">
        <f>N3-C26</f>
        <v>254172607.06676716</v>
      </c>
      <c r="S72" s="38"/>
    </row>
    <row r="73" spans="1:37" x14ac:dyDescent="0.25">
      <c r="B73" s="29" t="s">
        <v>397</v>
      </c>
      <c r="C73" s="67">
        <f>C72/(SUMPRODUCT($E$62:$E$68,$F$62:$F$68)+SUMPRODUCT($E$62:$E$68*$G$62:$G$68*(1-discount_DZK)))</f>
        <v>3.3100787450300446</v>
      </c>
    </row>
    <row r="74" spans="1:37" x14ac:dyDescent="0.25">
      <c r="D74" s="60"/>
    </row>
  </sheetData>
  <mergeCells count="1">
    <mergeCell ref="O61:W6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Tabelle6">
    <tabColor theme="7" tint="0.39997558519241921"/>
  </sheetPr>
  <dimension ref="A1:V74"/>
  <sheetViews>
    <sheetView zoomScale="70" zoomScaleNormal="70" workbookViewId="0">
      <pane ySplit="1" topLeftCell="A2" activePane="bottomLeft" state="frozen"/>
      <selection activeCell="B36" sqref="B36"/>
      <selection pane="bottomLeft" activeCell="B36" sqref="B36"/>
    </sheetView>
  </sheetViews>
  <sheetFormatPr baseColWidth="10" defaultRowHeight="15" x14ac:dyDescent="0.25"/>
  <cols>
    <col min="1" max="1" width="6.5703125" customWidth="1"/>
    <col min="2" max="2" width="30.5703125" customWidth="1"/>
    <col min="3" max="3" width="16.5703125" customWidth="1"/>
    <col min="4" max="4" width="12.85546875" customWidth="1"/>
    <col min="5" max="5" width="18.5703125" bestFit="1" customWidth="1"/>
    <col min="8" max="9" width="11.42578125" style="38" customWidth="1"/>
    <col min="10" max="10" width="12.140625" customWidth="1"/>
    <col min="11" max="11" width="12.42578125" customWidth="1"/>
    <col min="14" max="14" width="12.140625" customWidth="1"/>
    <col min="17" max="18" width="13.140625" customWidth="1"/>
    <col min="20" max="20" width="18.7109375" customWidth="1"/>
    <col min="21" max="21" width="18.85546875" customWidth="1"/>
  </cols>
  <sheetData>
    <row r="1" spans="1:21" ht="18" x14ac:dyDescent="0.25">
      <c r="A1" s="122" t="s">
        <v>399</v>
      </c>
      <c r="B1" s="122"/>
      <c r="C1" s="122"/>
      <c r="D1" s="122"/>
      <c r="E1" s="122"/>
      <c r="F1" s="122"/>
      <c r="G1" s="122"/>
      <c r="H1" s="123"/>
      <c r="I1" s="123"/>
      <c r="J1" s="122"/>
      <c r="K1" s="122"/>
      <c r="L1" s="122"/>
      <c r="M1" s="122"/>
      <c r="N1" s="122"/>
      <c r="O1" s="122"/>
      <c r="P1" s="122"/>
      <c r="Q1" s="122"/>
      <c r="R1" s="122"/>
    </row>
    <row r="2" spans="1:21" x14ac:dyDescent="0.25">
      <c r="B2" s="29" t="s">
        <v>369</v>
      </c>
      <c r="C2" s="30">
        <f>costs_GCA_var+costs_TAG_var</f>
        <v>107701700</v>
      </c>
      <c r="D2" t="s">
        <v>61</v>
      </c>
      <c r="G2" s="53"/>
      <c r="H2" s="46"/>
    </row>
    <row r="3" spans="1:21" x14ac:dyDescent="0.25">
      <c r="B3" s="29" t="s">
        <v>392</v>
      </c>
      <c r="C3" s="30">
        <f>(costs_GCA_var+costs_TAG_var)</f>
        <v>107701700</v>
      </c>
      <c r="D3" t="s">
        <v>61</v>
      </c>
      <c r="G3" s="53"/>
      <c r="H3" s="46"/>
    </row>
    <row r="4" spans="1:21" x14ac:dyDescent="0.25">
      <c r="G4" s="53"/>
      <c r="H4" s="46"/>
    </row>
    <row r="5" spans="1:21" x14ac:dyDescent="0.25">
      <c r="I5"/>
    </row>
    <row r="6" spans="1:21" x14ac:dyDescent="0.25">
      <c r="H6" s="64" t="s">
        <v>84</v>
      </c>
      <c r="I6" s="64" t="s">
        <v>85</v>
      </c>
    </row>
    <row r="7" spans="1:21" x14ac:dyDescent="0.25">
      <c r="A7" s="33" t="s">
        <v>130</v>
      </c>
      <c r="C7" s="88"/>
      <c r="D7" s="483"/>
      <c r="E7" s="483" t="s">
        <v>101</v>
      </c>
      <c r="F7" s="483"/>
      <c r="G7" s="483"/>
      <c r="H7" s="524" t="s">
        <v>101</v>
      </c>
      <c r="I7" s="524" t="s">
        <v>101</v>
      </c>
      <c r="J7" s="483"/>
      <c r="K7" s="483"/>
      <c r="L7" s="483"/>
      <c r="M7" s="483"/>
      <c r="N7" s="483"/>
      <c r="O7" s="483"/>
      <c r="P7" s="483"/>
      <c r="Q7" s="53"/>
      <c r="R7" s="53"/>
    </row>
    <row r="8" spans="1:21" ht="60" x14ac:dyDescent="0.25">
      <c r="A8" s="35" t="s">
        <v>62</v>
      </c>
      <c r="B8" s="35" t="s">
        <v>63</v>
      </c>
      <c r="C8" s="51" t="s">
        <v>64</v>
      </c>
      <c r="D8" s="51" t="s">
        <v>388</v>
      </c>
      <c r="E8" s="51" t="s">
        <v>404</v>
      </c>
      <c r="F8" s="51" t="s">
        <v>65</v>
      </c>
      <c r="G8" s="51" t="s">
        <v>66</v>
      </c>
      <c r="H8" s="513" t="s">
        <v>165</v>
      </c>
      <c r="I8" s="513" t="s">
        <v>166</v>
      </c>
      <c r="J8" s="51" t="s">
        <v>69</v>
      </c>
      <c r="K8" s="45" t="s">
        <v>133</v>
      </c>
      <c r="L8" s="51" t="s">
        <v>104</v>
      </c>
      <c r="M8" s="51" t="s">
        <v>410</v>
      </c>
      <c r="N8" s="45" t="s">
        <v>134</v>
      </c>
      <c r="O8" s="51" t="s">
        <v>105</v>
      </c>
      <c r="P8" s="51" t="s">
        <v>409</v>
      </c>
      <c r="Q8" s="51" t="s">
        <v>367</v>
      </c>
      <c r="R8" s="51" t="s">
        <v>368</v>
      </c>
      <c r="T8" s="468" t="s">
        <v>390</v>
      </c>
      <c r="U8" s="468" t="s">
        <v>391</v>
      </c>
    </row>
    <row r="9" spans="1:21" x14ac:dyDescent="0.25">
      <c r="A9">
        <f>1</f>
        <v>1</v>
      </c>
      <c r="B9" t="s">
        <v>70</v>
      </c>
      <c r="C9" s="36" t="s">
        <v>99</v>
      </c>
      <c r="D9" s="284">
        <f>'Reference VO 2017'!K5*($H$25)</f>
        <v>343.90897923515598</v>
      </c>
      <c r="E9" s="46">
        <f>'Reference VO 2017'!L5</f>
        <v>17377622</v>
      </c>
      <c r="F9" s="262">
        <f t="shared" ref="F9:F15" si="0">E9/SUM($E$9:$E$18)</f>
        <v>0.12168098493972147</v>
      </c>
      <c r="G9" s="262">
        <f>D9*F9</f>
        <v>41.847183322947998</v>
      </c>
      <c r="H9" s="46">
        <f>SUMIFS(Forecasts!$G$5:$G$34,Forecasts!$B$5:$B$34,"Entry",Forecasts!$E$5:$E$34,$B9,Forecasts!$C$5:$C$34,H$6)*GCV*1000</f>
        <v>0</v>
      </c>
      <c r="I9" s="46">
        <f>SUMIFS(Forecasts!$G$5:$G$34,Forecasts!$B$5:$B$34,"Entry",Forecasts!$E$5:$E$34,$B9,Forecasts!$C$5:$C$34,I$6)*GCV*1000</f>
        <v>531334.7699999999</v>
      </c>
      <c r="J9" s="52">
        <f t="shared" ref="J9:J18" si="1">SUMIF($B$22,C9,$E$22)</f>
        <v>1</v>
      </c>
      <c r="K9" s="52">
        <v>1</v>
      </c>
      <c r="L9" s="284">
        <f>base_tariff_entry_comm*K9*J9</f>
        <v>0.23679243533470556</v>
      </c>
      <c r="M9" s="284">
        <f>'Reference VO 2017'!M5</f>
        <v>1.3</v>
      </c>
      <c r="N9" s="52">
        <f t="shared" ref="N9:N18" si="2">1-discount_DZK</f>
        <v>0.9</v>
      </c>
      <c r="O9" s="284">
        <f t="shared" ref="O9:O18" si="3">L9*N9</f>
        <v>0.213113191801235</v>
      </c>
      <c r="P9" s="284">
        <f>'Reference VO 2017'!N5</f>
        <v>0.62</v>
      </c>
      <c r="Q9" s="86">
        <f t="shared" ref="Q9:Q18" si="4">L9*rescaling_entry_comm</f>
        <v>0.24403358740620276</v>
      </c>
      <c r="R9" s="86">
        <f>O9*rescaling_entry_comm</f>
        <v>0.21963022866558249</v>
      </c>
      <c r="T9" s="469">
        <f>Q9*VTPB!H9</f>
        <v>0</v>
      </c>
      <c r="U9" s="470">
        <f>R9*VTPB!I9</f>
        <v>116697.17703307465</v>
      </c>
    </row>
    <row r="10" spans="1:21" x14ac:dyDescent="0.25">
      <c r="A10">
        <f>A9+1</f>
        <v>2</v>
      </c>
      <c r="B10" t="s">
        <v>72</v>
      </c>
      <c r="C10" s="36" t="s">
        <v>99</v>
      </c>
      <c r="D10" s="284">
        <f>'Reference VO 2017'!K6*($H$25)</f>
        <v>0</v>
      </c>
      <c r="E10" s="46">
        <f>'Reference VO 2017'!L6</f>
        <v>96080396</v>
      </c>
      <c r="F10" s="262">
        <f t="shared" si="0"/>
        <v>0.67277083243486802</v>
      </c>
      <c r="G10" s="262">
        <f t="shared" ref="G10:G18" si="5">D10*F10</f>
        <v>0</v>
      </c>
      <c r="H10" s="46">
        <f>SUMIFS(Forecasts!$G$5:$G$34,Forecasts!$B$5:$B$34,"Entry",Forecasts!$E$5:$E$34,$B10,Forecasts!$C$5:$C$34,H$6)*GCV*1000</f>
        <v>81872004.269999996</v>
      </c>
      <c r="I10" s="46">
        <f>SUMIFS(Forecasts!$G$5:$G$34,Forecasts!$B$5:$B$34,"Entry",Forecasts!$E$5:$E$34,$B10,Forecasts!$C$5:$C$34,I$6)*GCV*1000</f>
        <v>0</v>
      </c>
      <c r="J10" s="52">
        <f t="shared" si="1"/>
        <v>1</v>
      </c>
      <c r="K10" s="52">
        <v>1</v>
      </c>
      <c r="L10" s="284">
        <f t="shared" ref="L10:L18" si="6">base_tariff_entry_comm*K10*J10</f>
        <v>0.23679243533470556</v>
      </c>
      <c r="M10" s="284">
        <f>'Reference VO 2017'!M6</f>
        <v>0.77</v>
      </c>
      <c r="N10" s="52">
        <f t="shared" si="2"/>
        <v>0.9</v>
      </c>
      <c r="O10" s="284">
        <f t="shared" si="3"/>
        <v>0.213113191801235</v>
      </c>
      <c r="P10" s="284">
        <f>'Reference VO 2017'!N6</f>
        <v>0</v>
      </c>
      <c r="Q10" s="86">
        <f t="shared" si="4"/>
        <v>0.24403358740620276</v>
      </c>
      <c r="R10" s="86">
        <f t="shared" ref="R10:R18" si="7">O10*rescaling_entry_comm</f>
        <v>0.21963022866558249</v>
      </c>
      <c r="T10" s="471">
        <f>Q10*VTPB!H10</f>
        <v>19979518.91014405</v>
      </c>
      <c r="U10" s="472">
        <f>R10*VTPB!I10</f>
        <v>0</v>
      </c>
    </row>
    <row r="11" spans="1:21" x14ac:dyDescent="0.25">
      <c r="A11">
        <f>A10+1</f>
        <v>3</v>
      </c>
      <c r="B11" t="s">
        <v>73</v>
      </c>
      <c r="C11" s="36" t="s">
        <v>99</v>
      </c>
      <c r="D11" s="284">
        <f>'Reference VO 2017'!K7*$H$24</f>
        <v>23.899425914354186</v>
      </c>
      <c r="E11" s="46">
        <f>'Reference VO 2017'!L7</f>
        <v>10349306</v>
      </c>
      <c r="F11" s="262">
        <f t="shared" si="0"/>
        <v>7.2467553243048391E-2</v>
      </c>
      <c r="G11" s="262">
        <f t="shared" si="5"/>
        <v>1.7319329199267524</v>
      </c>
      <c r="H11" s="46">
        <f>SUMIFS(Forecasts!$G$5:$G$34,Forecasts!$B$5:$B$34,"Entry",Forecasts!$E$5:$E$34,$B11,Forecasts!$C$5:$C$34,H$6)*GCV*1000</f>
        <v>9651005.7300000004</v>
      </c>
      <c r="I11" s="46">
        <f>SUMIFS(Forecasts!$G$5:$G$34,Forecasts!$B$5:$B$34,"Entry",Forecasts!$E$5:$E$34,$B11,Forecasts!$C$5:$C$34,I$6)*GCV*1000</f>
        <v>0</v>
      </c>
      <c r="J11" s="52">
        <f t="shared" si="1"/>
        <v>1</v>
      </c>
      <c r="K11" s="52">
        <v>1</v>
      </c>
      <c r="L11" s="284">
        <f t="shared" si="6"/>
        <v>0.23679243533470556</v>
      </c>
      <c r="M11" s="284">
        <f>'Reference VO 2017'!M7</f>
        <v>1.3</v>
      </c>
      <c r="N11" s="52">
        <f t="shared" si="2"/>
        <v>0.9</v>
      </c>
      <c r="O11" s="284">
        <f t="shared" si="3"/>
        <v>0.213113191801235</v>
      </c>
      <c r="P11" s="284">
        <f>'Reference VO 2017'!N7</f>
        <v>0</v>
      </c>
      <c r="Q11" s="86">
        <f t="shared" si="4"/>
        <v>0.24403358740620276</v>
      </c>
      <c r="R11" s="86">
        <f t="shared" si="7"/>
        <v>0.21963022866558249</v>
      </c>
      <c r="T11" s="471">
        <f>Q11*VTPB!H11</f>
        <v>2355169.5503697186</v>
      </c>
      <c r="U11" s="472">
        <f>R11*VTPB!I11</f>
        <v>0</v>
      </c>
    </row>
    <row r="12" spans="1:21" x14ac:dyDescent="0.25">
      <c r="A12">
        <f>A11+1</f>
        <v>4</v>
      </c>
      <c r="B12" t="s">
        <v>74</v>
      </c>
      <c r="C12" s="36" t="s">
        <v>99</v>
      </c>
      <c r="D12" s="284">
        <f>'Reference VO 2017'!K8*$H$24</f>
        <v>33.281431955113057</v>
      </c>
      <c r="E12" s="46">
        <f>'Reference VO 2017'!L8</f>
        <v>4750155</v>
      </c>
      <c r="F12" s="262">
        <f>E12/SUM($E$9:$E$18)</f>
        <v>3.3261371378451129E-2</v>
      </c>
      <c r="G12" s="262">
        <f t="shared" si="5"/>
        <v>1.1069860682656663</v>
      </c>
      <c r="H12" s="46">
        <f>SUMIFS(Forecasts!$G$5:$G$34,Forecasts!$B$5:$B$34,"Entry",Forecasts!$E$5:$E$34,$B12,Forecasts!$C$5:$C$34,H$6)*GCV*1000</f>
        <v>1393155</v>
      </c>
      <c r="I12" s="46">
        <f>SUMIFS(Forecasts!$G$5:$G$34,Forecasts!$B$5:$B$34,"Entry",Forecasts!$E$5:$E$34,$B12,Forecasts!$C$5:$C$34,I$6)*GCV*1000</f>
        <v>3357000</v>
      </c>
      <c r="J12" s="52">
        <f t="shared" si="1"/>
        <v>1</v>
      </c>
      <c r="K12" s="52">
        <v>1</v>
      </c>
      <c r="L12" s="284">
        <f t="shared" si="6"/>
        <v>0.23679243533470556</v>
      </c>
      <c r="M12" s="284">
        <f>'Reference VO 2017'!M8</f>
        <v>1.3</v>
      </c>
      <c r="N12" s="52">
        <f>1-discount_DZK</f>
        <v>0.9</v>
      </c>
      <c r="O12" s="284">
        <f t="shared" si="3"/>
        <v>0.213113191801235</v>
      </c>
      <c r="P12" s="284">
        <f>'Reference VO 2017'!N8</f>
        <v>1.17</v>
      </c>
      <c r="Q12" s="86">
        <f t="shared" si="4"/>
        <v>0.24403358740620276</v>
      </c>
      <c r="R12" s="86">
        <f t="shared" si="7"/>
        <v>0.21963022866558249</v>
      </c>
      <c r="T12" s="471">
        <f>Q12*VTPB!H12</f>
        <v>339976.61246288841</v>
      </c>
      <c r="U12" s="472">
        <f>R12*VTPB!I12</f>
        <v>737298.67763036047</v>
      </c>
    </row>
    <row r="13" spans="1:21" x14ac:dyDescent="0.25">
      <c r="A13">
        <v>5</v>
      </c>
      <c r="B13" t="s">
        <v>75</v>
      </c>
      <c r="C13" s="36" t="s">
        <v>99</v>
      </c>
      <c r="D13" s="284">
        <f>'Reference VO 2017'!K9*$H$24</f>
        <v>0.19751591664755525</v>
      </c>
      <c r="E13" s="46">
        <f>'Reference VO 2017'!L9</f>
        <v>7273500</v>
      </c>
      <c r="F13" s="262">
        <f t="shared" si="0"/>
        <v>5.0930250638382177E-2</v>
      </c>
      <c r="G13" s="262">
        <f>D13*F13</f>
        <v>1.0059535139929791E-2</v>
      </c>
      <c r="H13" s="46">
        <f>SUMIFS(Forecasts!$G$5:$G$34,Forecasts!$B$5:$B$34,"Entry",Forecasts!$E$5:$E$34,$B13,Forecasts!$C$5:$C$34,H$6)*GCV*1000</f>
        <v>5749393.0000000009</v>
      </c>
      <c r="I13" s="46">
        <f>SUMIFS(Forecasts!$G$5:$G$34,Forecasts!$B$5:$B$34,"Entry",Forecasts!$E$5:$E$34,$B13,Forecasts!$C$5:$C$34,I$6)*GCV*1000</f>
        <v>0</v>
      </c>
      <c r="J13" s="52">
        <f t="shared" si="1"/>
        <v>1</v>
      </c>
      <c r="K13" s="480">
        <f>1-discount_storage_entry</f>
        <v>0</v>
      </c>
      <c r="L13" s="284">
        <f t="shared" si="6"/>
        <v>0</v>
      </c>
      <c r="M13" s="284">
        <f>'Reference VO 2017'!M9</f>
        <v>0</v>
      </c>
      <c r="N13" s="52">
        <f t="shared" si="2"/>
        <v>0.9</v>
      </c>
      <c r="O13" s="284">
        <f t="shared" si="3"/>
        <v>0</v>
      </c>
      <c r="P13" s="284">
        <f>'Reference VO 2017'!N9</f>
        <v>0</v>
      </c>
      <c r="Q13" s="86">
        <f>L13*rescaling_entry_comm</f>
        <v>0</v>
      </c>
      <c r="R13" s="86">
        <f t="shared" si="7"/>
        <v>0</v>
      </c>
      <c r="T13" s="471">
        <f>Q13*VTPB!H13</f>
        <v>0</v>
      </c>
      <c r="U13" s="472">
        <f>R13*VTPB!I13</f>
        <v>0</v>
      </c>
    </row>
    <row r="14" spans="1:21" x14ac:dyDescent="0.25">
      <c r="A14">
        <v>6</v>
      </c>
      <c r="B14" t="s">
        <v>139</v>
      </c>
      <c r="C14" s="36" t="s">
        <v>99</v>
      </c>
      <c r="D14" s="284">
        <f>'Reference VO 2017'!K10*$H$24</f>
        <v>32.985158080141723</v>
      </c>
      <c r="E14" s="46">
        <f>'Reference VO 2017'!L10</f>
        <v>2950825</v>
      </c>
      <c r="F14" s="262">
        <f t="shared" si="0"/>
        <v>2.066216496047351E-2</v>
      </c>
      <c r="G14" s="262">
        <f t="shared" si="5"/>
        <v>0.68154477749918396</v>
      </c>
      <c r="H14" s="46">
        <f>SUMIFS(Forecasts!$G$5:$G$34,Forecasts!$B$5:$B$34,"Entry",Forecasts!$E$5:$E$34,$B14,Forecasts!$C$5:$C$34,H$6)*GCV*1000</f>
        <v>2950825</v>
      </c>
      <c r="I14" s="46">
        <f>SUMIFS(Forecasts!$G$5:$G$34,Forecasts!$B$5:$B$34,"Entry",Forecasts!$E$5:$E$34,$B14,Forecasts!$C$5:$C$34,I$6)*GCV*1000</f>
        <v>0</v>
      </c>
      <c r="J14" s="52">
        <f t="shared" si="1"/>
        <v>1</v>
      </c>
      <c r="K14" s="480">
        <f>1-discount_storage_entry</f>
        <v>0</v>
      </c>
      <c r="L14" s="284">
        <f>base_tariff_entry_comm*K14*J14</f>
        <v>0</v>
      </c>
      <c r="M14" s="284">
        <f>'Reference VO 2017'!M10</f>
        <v>0</v>
      </c>
      <c r="N14" s="52">
        <f t="shared" si="2"/>
        <v>0.9</v>
      </c>
      <c r="O14" s="284">
        <f t="shared" si="3"/>
        <v>0</v>
      </c>
      <c r="P14" s="284">
        <f>'Reference VO 2017'!N10</f>
        <v>0</v>
      </c>
      <c r="Q14" s="86">
        <f t="shared" si="4"/>
        <v>0</v>
      </c>
      <c r="R14" s="86">
        <f t="shared" si="7"/>
        <v>0</v>
      </c>
      <c r="T14" s="471">
        <f>Q14*VTPB!H14</f>
        <v>0</v>
      </c>
      <c r="U14" s="472">
        <f>R14*VTPB!I14</f>
        <v>0</v>
      </c>
    </row>
    <row r="15" spans="1:21" x14ac:dyDescent="0.25">
      <c r="A15">
        <v>7</v>
      </c>
      <c r="B15" s="61" t="s">
        <v>110</v>
      </c>
      <c r="C15" s="36" t="s">
        <v>99</v>
      </c>
      <c r="D15" s="284">
        <f>'Reference VO 2017'!K11*$H$24</f>
        <v>4.542866082893771</v>
      </c>
      <c r="E15" s="46">
        <f>'Reference VO 2017'!L11</f>
        <v>0</v>
      </c>
      <c r="F15" s="262">
        <f t="shared" si="0"/>
        <v>0</v>
      </c>
      <c r="G15" s="262">
        <f t="shared" si="5"/>
        <v>0</v>
      </c>
      <c r="H15" s="46">
        <f>SUMIFS(Forecasts!$G$5:$G$34,Forecasts!$B$5:$B$34,"Entry",Forecasts!$E$5:$E$34,$B15,Forecasts!$C$5:$C$34,H$6)*GCV*1000</f>
        <v>0</v>
      </c>
      <c r="I15" s="46">
        <f>SUMIFS(Forecasts!$G$5:$G$34,Forecasts!$B$5:$B$34,"Entry",Forecasts!$E$5:$E$34,$B15,Forecasts!$C$5:$C$34,I$6)*GCV*1000</f>
        <v>0</v>
      </c>
      <c r="J15" s="52">
        <f t="shared" si="1"/>
        <v>1</v>
      </c>
      <c r="K15" s="52">
        <v>1</v>
      </c>
      <c r="L15" s="284">
        <f t="shared" si="6"/>
        <v>0.23679243533470556</v>
      </c>
      <c r="M15" s="284">
        <f>'Reference VO 2017'!M11</f>
        <v>0.77</v>
      </c>
      <c r="N15" s="52">
        <f t="shared" si="2"/>
        <v>0.9</v>
      </c>
      <c r="O15" s="284">
        <f t="shared" si="3"/>
        <v>0.213113191801235</v>
      </c>
      <c r="P15" s="284">
        <f>'Reference VO 2017'!N11</f>
        <v>0</v>
      </c>
      <c r="Q15" s="86">
        <f t="shared" si="4"/>
        <v>0.24403358740620276</v>
      </c>
      <c r="R15" s="86">
        <f t="shared" si="7"/>
        <v>0.21963022866558249</v>
      </c>
      <c r="T15" s="471">
        <f>Q15*VTPB!H15</f>
        <v>0</v>
      </c>
      <c r="U15" s="472">
        <f>R15*VTPB!I15</f>
        <v>0</v>
      </c>
    </row>
    <row r="16" spans="1:21" x14ac:dyDescent="0.25">
      <c r="A16">
        <v>8</v>
      </c>
      <c r="B16" t="s">
        <v>87</v>
      </c>
      <c r="C16" s="36" t="s">
        <v>99</v>
      </c>
      <c r="D16" s="284">
        <f>'Reference VO 2017'!K12*($H$25)</f>
        <v>214.49560591894092</v>
      </c>
      <c r="E16" s="46">
        <f>'Reference VO 2017'!L12</f>
        <v>0</v>
      </c>
      <c r="F16" s="262">
        <f t="shared" ref="F16:F18" si="8">E16/SUM($E$9:$E$18)</f>
        <v>0</v>
      </c>
      <c r="G16" s="262">
        <f t="shared" si="5"/>
        <v>0</v>
      </c>
      <c r="H16" s="46">
        <f>SUMIFS(Forecasts!$G$5:$G$34,Forecasts!$B$5:$B$34,"Entry",Forecasts!$E$5:$E$34,$B16,Forecasts!$C$5:$C$34,H$6)*GCV*1000</f>
        <v>0</v>
      </c>
      <c r="I16" s="46">
        <f>SUMIFS(Forecasts!$G$5:$G$34,Forecasts!$B$5:$B$34,"Entry",Forecasts!$E$5:$E$34,$B16,Forecasts!$C$5:$C$34,I$6)*GCV*1000</f>
        <v>0</v>
      </c>
      <c r="J16" s="52">
        <f t="shared" si="1"/>
        <v>1</v>
      </c>
      <c r="K16" s="52">
        <v>1</v>
      </c>
      <c r="L16" s="284">
        <f t="shared" si="6"/>
        <v>0.23679243533470556</v>
      </c>
      <c r="M16" s="284">
        <f>'Reference VO 2017'!M12</f>
        <v>1.1000000000000001</v>
      </c>
      <c r="N16" s="52">
        <f t="shared" si="2"/>
        <v>0.9</v>
      </c>
      <c r="O16" s="284">
        <f t="shared" si="3"/>
        <v>0.213113191801235</v>
      </c>
      <c r="P16" s="284">
        <f>'Reference VO 2017'!N12</f>
        <v>0</v>
      </c>
      <c r="Q16" s="86">
        <f t="shared" si="4"/>
        <v>0.24403358740620276</v>
      </c>
      <c r="R16" s="86">
        <f t="shared" si="7"/>
        <v>0.21963022866558249</v>
      </c>
      <c r="T16" s="471">
        <f>Q16*VTPB!H16</f>
        <v>0</v>
      </c>
      <c r="U16" s="472">
        <f>R16*VTPB!I16</f>
        <v>0</v>
      </c>
    </row>
    <row r="17" spans="1:21" x14ac:dyDescent="0.25">
      <c r="A17">
        <v>9</v>
      </c>
      <c r="B17" t="s">
        <v>88</v>
      </c>
      <c r="C17" s="36" t="s">
        <v>99</v>
      </c>
      <c r="D17" s="284">
        <f>'Reference VO 2017'!K13*$H$24</f>
        <v>3.5552864996559945</v>
      </c>
      <c r="E17" s="46">
        <f>'Reference VO 2017'!L13</f>
        <v>0</v>
      </c>
      <c r="F17" s="262">
        <f t="shared" si="8"/>
        <v>0</v>
      </c>
      <c r="G17" s="262">
        <f t="shared" si="5"/>
        <v>0</v>
      </c>
      <c r="H17" s="46">
        <f>SUMIFS(Forecasts!$G$5:$G$34,Forecasts!$B$5:$B$34,"Entry",Forecasts!$E$5:$E$34,$B17,Forecasts!$C$5:$C$34,H$6)*GCV*1000</f>
        <v>0</v>
      </c>
      <c r="I17" s="46">
        <f>SUMIFS(Forecasts!$G$5:$G$34,Forecasts!$B$5:$B$34,"Entry",Forecasts!$E$5:$E$34,$B17,Forecasts!$C$5:$C$34,I$6)*GCV*1000</f>
        <v>0</v>
      </c>
      <c r="J17" s="52">
        <f t="shared" si="1"/>
        <v>1</v>
      </c>
      <c r="K17" s="52">
        <v>1</v>
      </c>
      <c r="L17" s="284">
        <f t="shared" si="6"/>
        <v>0.23679243533470556</v>
      </c>
      <c r="M17" s="284">
        <f>'Reference VO 2017'!M13</f>
        <v>0.77</v>
      </c>
      <c r="N17" s="52">
        <f t="shared" si="2"/>
        <v>0.9</v>
      </c>
      <c r="O17" s="284">
        <f t="shared" si="3"/>
        <v>0.213113191801235</v>
      </c>
      <c r="P17" s="284">
        <f>'Reference VO 2017'!N13</f>
        <v>0</v>
      </c>
      <c r="Q17" s="86">
        <f t="shared" si="4"/>
        <v>0.24403358740620276</v>
      </c>
      <c r="R17" s="86">
        <f t="shared" si="7"/>
        <v>0.21963022866558249</v>
      </c>
      <c r="T17" s="471">
        <f>Q17*VTPB!H17</f>
        <v>0</v>
      </c>
      <c r="U17" s="472">
        <f>R17*VTPB!I17</f>
        <v>0</v>
      </c>
    </row>
    <row r="18" spans="1:21" x14ac:dyDescent="0.25">
      <c r="A18">
        <v>10</v>
      </c>
      <c r="B18" t="s">
        <v>89</v>
      </c>
      <c r="C18" s="36" t="s">
        <v>99</v>
      </c>
      <c r="D18" s="284">
        <f>'Reference VO 2017'!K14*$H$24</f>
        <v>3.681217233257549</v>
      </c>
      <c r="E18" s="46">
        <f>'Reference VO 2017'!L14</f>
        <v>4031159</v>
      </c>
      <c r="F18" s="262">
        <f t="shared" si="8"/>
        <v>2.8226842405055345E-2</v>
      </c>
      <c r="G18" s="262">
        <f t="shared" si="5"/>
        <v>0.1039091387019347</v>
      </c>
      <c r="H18" s="46">
        <f>SUMIFS(Forecasts!$G$5:$G$34,Forecasts!$B$5:$B$34,"Entry",Forecasts!$E$5:$E$34,$B18,Forecasts!$C$5:$C$34,H$6)*GCV*1000</f>
        <v>4031159</v>
      </c>
      <c r="I18" s="46">
        <f>SUMIFS(Forecasts!$G$5:$G$34,Forecasts!$B$5:$B$34,"Entry",Forecasts!$E$5:$E$34,$B18,Forecasts!$C$5:$C$34,I$6)*GCV*1000</f>
        <v>0</v>
      </c>
      <c r="J18" s="52">
        <f t="shared" si="1"/>
        <v>1</v>
      </c>
      <c r="K18" s="52">
        <v>0</v>
      </c>
      <c r="L18" s="284">
        <f t="shared" si="6"/>
        <v>0</v>
      </c>
      <c r="M18" s="284">
        <f>'Reference VO 2017'!M14</f>
        <v>0</v>
      </c>
      <c r="N18" s="52">
        <f t="shared" si="2"/>
        <v>0.9</v>
      </c>
      <c r="O18" s="284">
        <f t="shared" si="3"/>
        <v>0</v>
      </c>
      <c r="P18" s="284">
        <f>'Reference VO 2017'!N14</f>
        <v>0</v>
      </c>
      <c r="Q18" s="86">
        <f t="shared" si="4"/>
        <v>0</v>
      </c>
      <c r="R18" s="86">
        <f t="shared" si="7"/>
        <v>0</v>
      </c>
      <c r="T18" s="473">
        <f>Q18*VTPB!H18</f>
        <v>0</v>
      </c>
      <c r="U18" s="474">
        <f>R18*VTPB!I18</f>
        <v>0</v>
      </c>
    </row>
    <row r="19" spans="1:21" x14ac:dyDescent="0.25">
      <c r="C19" s="53"/>
      <c r="D19" s="53"/>
      <c r="E19" s="53"/>
      <c r="F19" s="53"/>
      <c r="G19" s="53"/>
      <c r="H19" s="53"/>
      <c r="I19" s="53"/>
      <c r="J19" s="53"/>
      <c r="K19" s="53"/>
      <c r="L19" s="53"/>
      <c r="M19" s="53"/>
      <c r="N19" s="53"/>
      <c r="O19" s="53"/>
      <c r="P19" s="53"/>
      <c r="Q19" s="53"/>
      <c r="R19" s="53"/>
      <c r="T19">
        <f>SUM(T9:T18)</f>
        <v>22674665.072976656</v>
      </c>
      <c r="U19" s="283">
        <f>SUM(U9:U18)</f>
        <v>853995.85466343514</v>
      </c>
    </row>
    <row r="20" spans="1:21" x14ac:dyDescent="0.25">
      <c r="A20" s="33" t="s">
        <v>76</v>
      </c>
      <c r="C20" s="483" t="s">
        <v>101</v>
      </c>
      <c r="D20" s="483" t="s">
        <v>102</v>
      </c>
      <c r="E20" s="53"/>
      <c r="F20" s="53"/>
      <c r="G20" s="53"/>
      <c r="H20" s="46"/>
      <c r="I20" s="46"/>
      <c r="J20" s="53"/>
      <c r="K20" s="53"/>
      <c r="L20" s="53"/>
      <c r="M20" s="53"/>
      <c r="N20" s="53"/>
      <c r="O20" s="53"/>
      <c r="P20" s="53"/>
      <c r="Q20" s="53"/>
      <c r="R20" s="53"/>
    </row>
    <row r="21" spans="1:21" ht="45" x14ac:dyDescent="0.25">
      <c r="A21" s="35" t="s">
        <v>62</v>
      </c>
      <c r="B21" s="35" t="s">
        <v>137</v>
      </c>
      <c r="C21" s="525" t="s">
        <v>100</v>
      </c>
      <c r="D21" s="51" t="s">
        <v>77</v>
      </c>
      <c r="E21" s="51" t="s">
        <v>78</v>
      </c>
      <c r="F21" s="51" t="s">
        <v>165</v>
      </c>
      <c r="G21" s="51" t="s">
        <v>166</v>
      </c>
      <c r="H21" s="46"/>
      <c r="I21" s="46"/>
      <c r="J21" s="53"/>
      <c r="K21" s="53"/>
      <c r="L21" s="53"/>
      <c r="M21" s="53"/>
      <c r="N21" s="53"/>
      <c r="O21" s="53"/>
      <c r="P21" s="53"/>
      <c r="Q21" s="53"/>
      <c r="R21" s="53"/>
    </row>
    <row r="22" spans="1:21" x14ac:dyDescent="0.25">
      <c r="A22" s="53">
        <v>1</v>
      </c>
      <c r="B22" t="str">
        <f>C9</f>
        <v>Entry MG Ost</v>
      </c>
      <c r="C22" s="465">
        <f>+SUM($E$9:$E$18)</f>
        <v>142812963</v>
      </c>
      <c r="D22" s="50">
        <f>+SUMPRODUCT($D$9:$D$18,$E$9:$E$18)/$C$22</f>
        <v>45.481615762481468</v>
      </c>
      <c r="E22" s="284">
        <f>D22/$D$22</f>
        <v>1</v>
      </c>
      <c r="F22" s="46">
        <f>+SUM(H9:H18)</f>
        <v>105647542</v>
      </c>
      <c r="G22" s="46">
        <f>+SUM(I9:I18)</f>
        <v>3888334.77</v>
      </c>
      <c r="H22" s="46"/>
      <c r="I22" s="46"/>
      <c r="J22" s="53"/>
      <c r="K22" s="284"/>
      <c r="L22" s="52"/>
      <c r="M22" s="52"/>
      <c r="N22" s="465"/>
      <c r="O22" s="465"/>
      <c r="P22" s="465"/>
      <c r="Q22" s="53"/>
      <c r="R22" s="53"/>
    </row>
    <row r="23" spans="1:21" ht="45" x14ac:dyDescent="0.25">
      <c r="C23" s="67"/>
      <c r="D23" s="46"/>
      <c r="E23" s="284"/>
      <c r="F23" s="46"/>
      <c r="G23" s="46"/>
      <c r="H23" s="46"/>
      <c r="I23" s="46"/>
      <c r="J23" s="53"/>
      <c r="K23" s="284"/>
      <c r="L23" s="52"/>
      <c r="M23" s="52"/>
      <c r="N23" s="465"/>
      <c r="O23" s="465"/>
      <c r="P23" s="465"/>
      <c r="Q23" s="53"/>
      <c r="R23" s="53"/>
      <c r="T23" s="466" t="s">
        <v>389</v>
      </c>
      <c r="U23" s="467">
        <f>T19+U19+T57+U57</f>
        <v>107701700</v>
      </c>
    </row>
    <row r="24" spans="1:21" x14ac:dyDescent="0.25">
      <c r="B24" s="29" t="s">
        <v>403</v>
      </c>
      <c r="C24" s="54">
        <f>SUM(G9:G18)/SUM(G9:G18,G32:G56)</f>
        <v>0.23997016008969227</v>
      </c>
      <c r="D24" s="46"/>
      <c r="E24" s="53"/>
      <c r="F24" s="46"/>
      <c r="G24" s="526" t="s">
        <v>400</v>
      </c>
      <c r="H24" s="527">
        <f>(costs_GCA_var)/(costs_GCA_var+costs_TAG_var)</f>
        <v>9.8757958323777623E-2</v>
      </c>
      <c r="I24" s="46"/>
      <c r="J24" s="53"/>
      <c r="K24" s="284"/>
      <c r="L24" s="52"/>
      <c r="M24" s="52"/>
      <c r="N24" s="465"/>
      <c r="O24" s="465"/>
      <c r="P24" s="465"/>
      <c r="Q24" s="53"/>
      <c r="R24" s="53"/>
    </row>
    <row r="25" spans="1:21" x14ac:dyDescent="0.25">
      <c r="B25" s="29" t="s">
        <v>106</v>
      </c>
      <c r="C25" s="465">
        <f>EX_split_entry_theor_comm*costs_commodity</f>
        <v>25845194.190932009</v>
      </c>
      <c r="D25" s="46"/>
      <c r="E25" s="53"/>
      <c r="F25" s="46"/>
      <c r="G25" s="526" t="s">
        <v>401</v>
      </c>
      <c r="H25" s="54">
        <f>1-H24</f>
        <v>0.90124204167622235</v>
      </c>
      <c r="I25" s="46"/>
      <c r="J25" s="53"/>
      <c r="K25" s="284"/>
      <c r="L25" s="52"/>
      <c r="M25" s="52"/>
      <c r="N25" s="465"/>
      <c r="O25" s="465"/>
      <c r="P25" s="465"/>
      <c r="Q25" s="53"/>
      <c r="R25" s="53"/>
    </row>
    <row r="26" spans="1:21" x14ac:dyDescent="0.25">
      <c r="B26" s="29" t="s">
        <v>107</v>
      </c>
      <c r="C26" s="67">
        <f>C25/(E22*F22+E22*G22*(1-discount_DZK))</f>
        <v>0.23679243533470556</v>
      </c>
      <c r="D26" s="67"/>
      <c r="E26" s="53"/>
      <c r="F26" s="53"/>
      <c r="G26" s="53"/>
      <c r="H26" s="46"/>
      <c r="I26" s="46"/>
      <c r="J26" s="284"/>
      <c r="K26" s="284"/>
      <c r="L26" s="52"/>
      <c r="M26" s="52"/>
      <c r="N26" s="465"/>
      <c r="O26" s="465"/>
      <c r="P26" s="465"/>
      <c r="Q26" s="53"/>
      <c r="R26" s="53"/>
    </row>
    <row r="27" spans="1:21" x14ac:dyDescent="0.25">
      <c r="B27" s="29" t="s">
        <v>108</v>
      </c>
      <c r="C27" s="475">
        <f>IFERROR((C25+C71)/(SUMPRODUCT(H9:H18,L9:L18)+SUMPRODUCT(I9:I18,O9:O18)+SUMPRODUCT(H32:H56,L32:L56)+SUMPRODUCT(I32:I56,O32:O56)),0)</f>
        <v>1.0305801663860665</v>
      </c>
      <c r="D27" s="53"/>
      <c r="E27" s="465"/>
      <c r="F27" s="53"/>
      <c r="G27" s="53"/>
      <c r="H27" s="46"/>
      <c r="I27" s="46"/>
      <c r="J27" s="284"/>
      <c r="K27" s="284"/>
      <c r="L27" s="52"/>
      <c r="M27" s="52"/>
      <c r="N27" s="465"/>
      <c r="O27" s="465"/>
      <c r="P27" s="465"/>
      <c r="Q27" s="53"/>
      <c r="R27" s="53"/>
    </row>
    <row r="28" spans="1:21" x14ac:dyDescent="0.25">
      <c r="B28" s="29"/>
      <c r="C28" s="53"/>
      <c r="D28" s="53"/>
      <c r="E28" s="53"/>
      <c r="F28" s="53"/>
      <c r="G28" s="53"/>
      <c r="H28" s="46"/>
      <c r="I28" s="46"/>
      <c r="J28" s="284"/>
      <c r="K28" s="284"/>
      <c r="L28" s="52"/>
      <c r="M28" s="52"/>
      <c r="N28" s="465"/>
      <c r="O28" s="465"/>
      <c r="P28" s="465"/>
      <c r="Q28" s="53"/>
      <c r="R28" s="53"/>
    </row>
    <row r="29" spans="1:21" x14ac:dyDescent="0.25">
      <c r="B29" s="29"/>
      <c r="C29" s="53"/>
      <c r="D29" s="53"/>
      <c r="E29" s="53"/>
      <c r="F29" s="53"/>
      <c r="G29" s="53"/>
      <c r="H29" s="528" t="s">
        <v>84</v>
      </c>
      <c r="I29" s="528" t="s">
        <v>85</v>
      </c>
      <c r="J29" s="284"/>
      <c r="K29" s="284"/>
      <c r="L29" s="52"/>
      <c r="M29" s="52"/>
      <c r="N29" s="465"/>
      <c r="O29" s="465"/>
      <c r="P29" s="465"/>
      <c r="Q29" s="53"/>
      <c r="R29" s="53"/>
    </row>
    <row r="30" spans="1:21" x14ac:dyDescent="0.25">
      <c r="A30" s="33" t="s">
        <v>127</v>
      </c>
      <c r="C30" s="53"/>
      <c r="D30" s="483"/>
      <c r="E30" s="483" t="s">
        <v>101</v>
      </c>
      <c r="F30" s="53"/>
      <c r="G30" s="88"/>
      <c r="H30" s="524" t="s">
        <v>101</v>
      </c>
      <c r="I30" s="524" t="s">
        <v>101</v>
      </c>
      <c r="J30" s="53"/>
      <c r="K30" s="53"/>
      <c r="L30" s="53"/>
      <c r="M30" s="53"/>
      <c r="N30" s="53"/>
      <c r="O30" s="53"/>
      <c r="P30" s="53"/>
      <c r="Q30" s="53"/>
      <c r="R30" s="53"/>
    </row>
    <row r="31" spans="1:21" ht="60" x14ac:dyDescent="0.25">
      <c r="A31" s="35" t="s">
        <v>62</v>
      </c>
      <c r="B31" s="35" t="s">
        <v>63</v>
      </c>
      <c r="C31" s="51" t="s">
        <v>64</v>
      </c>
      <c r="D31" s="51" t="s">
        <v>388</v>
      </c>
      <c r="E31" s="51" t="s">
        <v>404</v>
      </c>
      <c r="F31" s="51" t="s">
        <v>65</v>
      </c>
      <c r="G31" s="51" t="s">
        <v>66</v>
      </c>
      <c r="H31" s="513" t="s">
        <v>165</v>
      </c>
      <c r="I31" s="513" t="s">
        <v>166</v>
      </c>
      <c r="J31" s="51" t="s">
        <v>109</v>
      </c>
      <c r="K31" s="45" t="s">
        <v>231</v>
      </c>
      <c r="L31" s="51" t="s">
        <v>233</v>
      </c>
      <c r="M31" s="51" t="s">
        <v>408</v>
      </c>
      <c r="N31" s="45" t="s">
        <v>232</v>
      </c>
      <c r="O31" s="51" t="s">
        <v>234</v>
      </c>
      <c r="P31" s="51" t="s">
        <v>409</v>
      </c>
      <c r="Q31" s="51" t="s">
        <v>367</v>
      </c>
      <c r="R31" s="51" t="s">
        <v>368</v>
      </c>
      <c r="T31" s="468" t="s">
        <v>390</v>
      </c>
      <c r="U31" s="468" t="s">
        <v>391</v>
      </c>
    </row>
    <row r="32" spans="1:21" x14ac:dyDescent="0.25">
      <c r="A32">
        <f>1</f>
        <v>1</v>
      </c>
      <c r="B32" t="s">
        <v>70</v>
      </c>
      <c r="C32" s="53" t="s">
        <v>97</v>
      </c>
      <c r="D32" s="86">
        <f>('Reference VO 2017'!K15)*($H$25)</f>
        <v>343.90897923515598</v>
      </c>
      <c r="E32" s="87">
        <f>'Reference VO 2017'!L15</f>
        <v>50014969</v>
      </c>
      <c r="F32" s="262">
        <f>E32/SUM($E$32:$E$56)</f>
        <v>0.361425785029721</v>
      </c>
      <c r="G32" s="262">
        <f>D32*F32</f>
        <v>124.29757279883627</v>
      </c>
      <c r="H32" s="46">
        <f>SUMIFS(Forecasts!$G$5:$G$34,Forecasts!$B$5:$B$34,"Exit",Forecasts!$E$5:$E$34,$B32,Forecasts!$C$5:$C$34,H$6)*GCV*1000</f>
        <v>48558893.100000009</v>
      </c>
      <c r="I32" s="46">
        <f>SUMIFS(Forecasts!$G$5:$G$34,Forecasts!$B$5:$B$34,"Exit",Forecasts!$E$5:$E$34,$B32,Forecasts!$C$5:$C$34,I$6)*GCV*1000</f>
        <v>0</v>
      </c>
      <c r="J32" s="52">
        <f t="shared" ref="J32:J56" si="9">SUMIF($B$62:$B$68,C32,$E$62:$E$68)</f>
        <v>1</v>
      </c>
      <c r="K32" s="52">
        <v>1</v>
      </c>
      <c r="L32" s="284">
        <f t="shared" ref="L32:L56" si="10">base_tariff_exit_comm*K32*J32</f>
        <v>1.4821913509738673</v>
      </c>
      <c r="M32" s="284">
        <f>'Reference VO 2017'!M15</f>
        <v>4.63</v>
      </c>
      <c r="N32" s="52">
        <f t="shared" ref="N32:N56" si="11">1-discount_DZK</f>
        <v>0.9</v>
      </c>
      <c r="O32" s="284">
        <f t="shared" ref="O32:O56" si="12">L32*N32</f>
        <v>1.3339722158764806</v>
      </c>
      <c r="P32" s="284">
        <f>'Reference VO 2017'!N15</f>
        <v>0</v>
      </c>
      <c r="Q32" s="86">
        <f t="shared" ref="Q32:Q56" si="13">+L32*rescaling_exit_comm</f>
        <v>1.5275170091026369</v>
      </c>
      <c r="R32" s="86">
        <f t="shared" ref="R32:R56" si="14">+O32*rescaling_exit_comm</f>
        <v>1.3747653081923732</v>
      </c>
      <c r="T32" s="469">
        <f>Q32*VTPB!H32</f>
        <v>74174535.153446689</v>
      </c>
      <c r="U32" s="470">
        <f>R32*VTPB!I32</f>
        <v>0</v>
      </c>
    </row>
    <row r="33" spans="1:21" x14ac:dyDescent="0.25">
      <c r="A33">
        <f t="shared" ref="A33:A56" si="15">A32+1</f>
        <v>2</v>
      </c>
      <c r="B33" s="61" t="s">
        <v>72</v>
      </c>
      <c r="C33" s="55" t="s">
        <v>91</v>
      </c>
      <c r="D33" s="86">
        <f>VTPB!D36*$H$24</f>
        <v>23.899425914354186</v>
      </c>
      <c r="E33" s="87">
        <f>'Reference VO 2017'!L16</f>
        <v>10272000</v>
      </c>
      <c r="F33" s="262">
        <f>E33/SUM($E$32:$E$56)</f>
        <v>7.4229090571370615E-2</v>
      </c>
      <c r="G33" s="262">
        <f t="shared" ref="G33:G56" si="16">D33*F33</f>
        <v>1.7740326508003588</v>
      </c>
      <c r="H33" s="46">
        <f>SUMIFS(Forecasts!$G$5:$G$34,Forecasts!$B$5:$B$34,"Exit",Forecasts!$E$5:$E$34,$B33,Forecasts!$C$5:$C$34,H$6)*GCV*1000</f>
        <v>5436471.2699999996</v>
      </c>
      <c r="I33" s="46">
        <f>SUMIFS(Forecasts!$G$5:$G$34,Forecasts!$B$5:$B$34,"Exit",Forecasts!$E$5:$E$34,$B33,Forecasts!$C$5:$C$34,I$6)*GCV*1000</f>
        <v>0</v>
      </c>
      <c r="J33" s="52">
        <f t="shared" si="9"/>
        <v>4.556505267177513E-2</v>
      </c>
      <c r="K33" s="52">
        <v>1</v>
      </c>
      <c r="L33" s="284">
        <f t="shared" si="10"/>
        <v>6.7536126976773803E-2</v>
      </c>
      <c r="M33" s="284">
        <f>'Reference VO 2017'!M16</f>
        <v>1.1200000000000001</v>
      </c>
      <c r="N33" s="52">
        <f t="shared" si="11"/>
        <v>0.9</v>
      </c>
      <c r="O33" s="284">
        <f t="shared" si="12"/>
        <v>6.0782514279096422E-2</v>
      </c>
      <c r="P33" s="284">
        <f>'Reference VO 2017'!N16</f>
        <v>0</v>
      </c>
      <c r="Q33" s="86">
        <f t="shared" si="13"/>
        <v>6.960139297679406E-2</v>
      </c>
      <c r="R33" s="86">
        <f t="shared" si="14"/>
        <v>6.2641253679114661E-2</v>
      </c>
      <c r="T33" s="471">
        <f>Q33*VTPB!H33</f>
        <v>378385.97327032068</v>
      </c>
      <c r="U33" s="472">
        <f>R33*VTPB!I33</f>
        <v>0</v>
      </c>
    </row>
    <row r="34" spans="1:21" x14ac:dyDescent="0.25">
      <c r="A34">
        <f t="shared" si="15"/>
        <v>3</v>
      </c>
      <c r="B34" s="61" t="s">
        <v>110</v>
      </c>
      <c r="C34" s="55" t="s">
        <v>91</v>
      </c>
      <c r="D34" s="86">
        <f>'Reference VO 2017'!K17*$H$24</f>
        <v>4.542866082893771</v>
      </c>
      <c r="E34" s="87">
        <f>'Reference VO 2017'!L17</f>
        <v>6378300</v>
      </c>
      <c r="F34" s="262">
        <f t="shared" ref="F34:F56" si="17">E34/SUM($E$32:$E$56)</f>
        <v>4.6091842717228701E-2</v>
      </c>
      <c r="G34" s="262">
        <f t="shared" si="16"/>
        <v>0.20938906897817253</v>
      </c>
      <c r="H34" s="46">
        <f>SUMIFS(Forecasts!$G$5:$G$34,Forecasts!$B$5:$B$34,"Exit",Forecasts!$E$5:$E$34,$B34,Forecasts!$C$5:$C$34,H$6)*GCV*1000</f>
        <v>6378299.9999999991</v>
      </c>
      <c r="I34" s="46">
        <f>SUMIFS(Forecasts!$G$5:$G$34,Forecasts!$B$5:$B$34,"Exit",Forecasts!$E$5:$E$34,$B34,Forecasts!$C$5:$C$34,I$6)*GCV*1000</f>
        <v>0</v>
      </c>
      <c r="J34" s="52">
        <f t="shared" si="9"/>
        <v>4.556505267177513E-2</v>
      </c>
      <c r="K34" s="52">
        <v>1</v>
      </c>
      <c r="L34" s="284">
        <f t="shared" si="10"/>
        <v>6.7536126976773803E-2</v>
      </c>
      <c r="M34" s="284">
        <f>'Reference VO 2017'!M17</f>
        <v>1.1200000000000001</v>
      </c>
      <c r="N34" s="52">
        <f t="shared" si="11"/>
        <v>0.9</v>
      </c>
      <c r="O34" s="284">
        <f t="shared" si="12"/>
        <v>6.0782514279096422E-2</v>
      </c>
      <c r="P34" s="284">
        <f>'Reference VO 2017'!N17</f>
        <v>0</v>
      </c>
      <c r="Q34" s="86">
        <f t="shared" si="13"/>
        <v>6.960139297679406E-2</v>
      </c>
      <c r="R34" s="86">
        <f t="shared" si="14"/>
        <v>6.2641253679114661E-2</v>
      </c>
      <c r="T34" s="471">
        <f>Q34*VTPB!H34</f>
        <v>443938.56482388551</v>
      </c>
      <c r="U34" s="472">
        <f>R34*VTPB!I34</f>
        <v>0</v>
      </c>
    </row>
    <row r="35" spans="1:21" x14ac:dyDescent="0.25">
      <c r="A35">
        <f t="shared" si="15"/>
        <v>4</v>
      </c>
      <c r="B35" s="61" t="s">
        <v>87</v>
      </c>
      <c r="C35" s="55" t="s">
        <v>93</v>
      </c>
      <c r="D35" s="86">
        <f>'Reference VO 2017'!K18*($H$25)</f>
        <v>214.49560591894092</v>
      </c>
      <c r="E35" s="87">
        <f>'Reference VO 2017'!L18</f>
        <v>4688610</v>
      </c>
      <c r="F35" s="262">
        <f t="shared" si="17"/>
        <v>3.3881547541261096E-2</v>
      </c>
      <c r="G35" s="262">
        <f t="shared" si="16"/>
        <v>7.2674430693342016</v>
      </c>
      <c r="H35" s="46">
        <f>SUMIFS(Forecasts!$G$5:$G$34,Forecasts!$B$5:$B$34,"Exit",Forecasts!$E$5:$E$34,$B35,Forecasts!$C$5:$C$34,H$6)*GCV*1000</f>
        <v>3382423.6799999997</v>
      </c>
      <c r="I35" s="46">
        <f>SUMIFS(Forecasts!$G$5:$G$34,Forecasts!$B$5:$B$34,"Exit",Forecasts!$E$5:$E$34,$B35,Forecasts!$C$5:$C$34,I$6)*GCV*1000</f>
        <v>0</v>
      </c>
      <c r="J35" s="52">
        <f t="shared" si="9"/>
        <v>0.62369876586523909</v>
      </c>
      <c r="K35" s="52">
        <v>1</v>
      </c>
      <c r="L35" s="284">
        <f t="shared" si="10"/>
        <v>0.92444091637853254</v>
      </c>
      <c r="M35" s="284">
        <f>'Reference VO 2017'!M18</f>
        <v>3.33</v>
      </c>
      <c r="N35" s="52">
        <f t="shared" si="11"/>
        <v>0.9</v>
      </c>
      <c r="O35" s="284">
        <f t="shared" si="12"/>
        <v>0.83199682474067926</v>
      </c>
      <c r="P35" s="284">
        <f>'Reference VO 2017'!N18</f>
        <v>0</v>
      </c>
      <c r="Q35" s="86">
        <f t="shared" si="13"/>
        <v>0.95271047341547588</v>
      </c>
      <c r="R35" s="86">
        <f t="shared" si="14"/>
        <v>0.85743942607392831</v>
      </c>
      <c r="T35" s="471">
        <f>Q35*VTPB!H35</f>
        <v>3222470.4654645156</v>
      </c>
      <c r="U35" s="472">
        <f>R35*VTPB!I35</f>
        <v>0</v>
      </c>
    </row>
    <row r="36" spans="1:21" x14ac:dyDescent="0.25">
      <c r="A36">
        <f t="shared" si="15"/>
        <v>5</v>
      </c>
      <c r="B36" s="61" t="s">
        <v>73</v>
      </c>
      <c r="C36" s="55" t="s">
        <v>92</v>
      </c>
      <c r="D36" s="86">
        <f>'Reference VO 2017'!K19*$H$24</f>
        <v>23.899425914354186</v>
      </c>
      <c r="E36" s="87">
        <f>'Reference VO 2017'!L19</f>
        <v>15660325</v>
      </c>
      <c r="F36" s="262">
        <f t="shared" si="17"/>
        <v>0.11316702519490845</v>
      </c>
      <c r="G36" s="262">
        <f t="shared" si="16"/>
        <v>2.7046269345935681</v>
      </c>
      <c r="H36" s="46">
        <f>SUMIFS(Forecasts!$G$5:$G$34,Forecasts!$B$5:$B$34,"Exit",Forecasts!$E$5:$E$34,$B36,Forecasts!$C$5:$C$34,H$6)*GCV*1000</f>
        <v>15660326.67</v>
      </c>
      <c r="I36" s="46">
        <f>SUMIFS(Forecasts!$G$5:$G$34,Forecasts!$B$5:$B$34,"Exit",Forecasts!$E$5:$E$34,$B36,Forecasts!$C$5:$C$34,I$6)*GCV*1000</f>
        <v>0</v>
      </c>
      <c r="J36" s="52">
        <f t="shared" si="9"/>
        <v>7.8370009288571962E-2</v>
      </c>
      <c r="K36" s="52">
        <v>1</v>
      </c>
      <c r="L36" s="284">
        <f t="shared" si="10"/>
        <v>0.116159349943263</v>
      </c>
      <c r="M36" s="284">
        <f>'Reference VO 2017'!M19</f>
        <v>3.44</v>
      </c>
      <c r="N36" s="52">
        <f t="shared" si="11"/>
        <v>0.9</v>
      </c>
      <c r="O36" s="284">
        <f t="shared" si="12"/>
        <v>0.10454341494893671</v>
      </c>
      <c r="P36" s="284">
        <f>'Reference VO 2017'!N19</f>
        <v>0</v>
      </c>
      <c r="Q36" s="86">
        <f t="shared" si="13"/>
        <v>0.11971152219182532</v>
      </c>
      <c r="R36" s="86">
        <f t="shared" si="14"/>
        <v>0.10774036997264279</v>
      </c>
      <c r="T36" s="471">
        <f>Q36*VTPB!H36</f>
        <v>1874721.5436869387</v>
      </c>
      <c r="U36" s="472">
        <f>R36*VTPB!I36</f>
        <v>0</v>
      </c>
    </row>
    <row r="37" spans="1:21" x14ac:dyDescent="0.25">
      <c r="A37">
        <f t="shared" si="15"/>
        <v>6</v>
      </c>
      <c r="B37" s="61" t="s">
        <v>88</v>
      </c>
      <c r="C37" s="55" t="s">
        <v>91</v>
      </c>
      <c r="D37" s="86">
        <f>'Reference VO 2017'!K20*$H$24</f>
        <v>3.5552864996559945</v>
      </c>
      <c r="E37" s="87">
        <f>'Reference VO 2017'!L20</f>
        <v>1119000</v>
      </c>
      <c r="F37" s="262">
        <f t="shared" si="17"/>
        <v>8.0862881960050356E-3</v>
      </c>
      <c r="G37" s="262">
        <f t="shared" si="16"/>
        <v>2.8749071255584329E-2</v>
      </c>
      <c r="H37" s="46">
        <f>SUMIFS(Forecasts!$G$5:$G$34,Forecasts!$B$5:$B$34,"Exit",Forecasts!$E$5:$E$34,$B37,Forecasts!$C$5:$C$34,H$6)*GCV*1000</f>
        <v>0</v>
      </c>
      <c r="I37" s="46">
        <f>SUMIFS(Forecasts!$G$5:$G$34,Forecasts!$B$5:$B$34,"Exit",Forecasts!$E$5:$E$34,$B37,Forecasts!$C$5:$C$34,I$6)*GCV*1000</f>
        <v>0</v>
      </c>
      <c r="J37" s="52">
        <f t="shared" si="9"/>
        <v>4.556505267177513E-2</v>
      </c>
      <c r="K37" s="52">
        <v>1</v>
      </c>
      <c r="L37" s="284">
        <f t="shared" si="10"/>
        <v>6.7536126976773803E-2</v>
      </c>
      <c r="M37" s="284">
        <f>'Reference VO 2017'!M20</f>
        <v>1.1200000000000001</v>
      </c>
      <c r="N37" s="52">
        <f t="shared" si="11"/>
        <v>0.9</v>
      </c>
      <c r="O37" s="284">
        <f t="shared" si="12"/>
        <v>6.0782514279096422E-2</v>
      </c>
      <c r="P37" s="284">
        <f>'Reference VO 2017'!N20</f>
        <v>0</v>
      </c>
      <c r="Q37" s="86">
        <f t="shared" si="13"/>
        <v>6.960139297679406E-2</v>
      </c>
      <c r="R37" s="86">
        <f t="shared" si="14"/>
        <v>6.2641253679114661E-2</v>
      </c>
      <c r="T37" s="471">
        <f>Q37*VTPB!H37</f>
        <v>0</v>
      </c>
      <c r="U37" s="472">
        <f>R37*VTPB!I37</f>
        <v>0</v>
      </c>
    </row>
    <row r="38" spans="1:21" x14ac:dyDescent="0.25">
      <c r="A38">
        <f t="shared" si="15"/>
        <v>7</v>
      </c>
      <c r="B38" s="61" t="s">
        <v>74</v>
      </c>
      <c r="C38" s="55" t="s">
        <v>92</v>
      </c>
      <c r="D38" s="86">
        <f>'Reference VO 2017'!K21*$H$24</f>
        <v>33.281431955113057</v>
      </c>
      <c r="E38" s="87">
        <f>'Reference VO 2017'!L21</f>
        <v>7553250</v>
      </c>
      <c r="F38" s="262">
        <f>E38/SUM($E$32:$E$56)</f>
        <v>5.4582445323033989E-2</v>
      </c>
      <c r="G38" s="262">
        <f>D38*F38</f>
        <v>1.8165819399622345</v>
      </c>
      <c r="H38" s="46">
        <f>SUMIFS(Forecasts!$G$5:$G$34,Forecasts!$B$5:$B$34,"Exit",Forecasts!$E$5:$E$34,$B38,Forecasts!$C$5:$C$34,H$6)*GCV*1000</f>
        <v>265538.7</v>
      </c>
      <c r="I38" s="46">
        <f>SUMIFS(Forecasts!$G$5:$G$34,Forecasts!$B$5:$B$34,"Exit",Forecasts!$E$5:$E$34,$B38,Forecasts!$C$5:$C$34,I$6)*GCV*1000</f>
        <v>6468513.7800000003</v>
      </c>
      <c r="J38" s="52">
        <f t="shared" si="9"/>
        <v>7.8370009288571962E-2</v>
      </c>
      <c r="K38" s="52">
        <v>1</v>
      </c>
      <c r="L38" s="284">
        <f t="shared" si="10"/>
        <v>0.116159349943263</v>
      </c>
      <c r="M38" s="284">
        <f>'Reference VO 2017'!M21</f>
        <v>3.44</v>
      </c>
      <c r="N38" s="52">
        <f t="shared" si="11"/>
        <v>0.9</v>
      </c>
      <c r="O38" s="284">
        <f t="shared" si="12"/>
        <v>0.10454341494893671</v>
      </c>
      <c r="P38" s="284">
        <f>'Reference VO 2017'!N21</f>
        <v>2.99</v>
      </c>
      <c r="Q38" s="86">
        <f t="shared" si="13"/>
        <v>0.11971152219182532</v>
      </c>
      <c r="R38" s="86">
        <f t="shared" si="14"/>
        <v>0.10774036997264279</v>
      </c>
      <c r="T38" s="471">
        <f>Q38*VTPB!H38</f>
        <v>31788.041977838449</v>
      </c>
      <c r="U38" s="472">
        <f>R38*VTPB!I38</f>
        <v>696920.06783033814</v>
      </c>
    </row>
    <row r="39" spans="1:21" x14ac:dyDescent="0.25">
      <c r="A39">
        <f t="shared" si="15"/>
        <v>8</v>
      </c>
      <c r="B39" s="61" t="s">
        <v>75</v>
      </c>
      <c r="C39" s="53" t="s">
        <v>96</v>
      </c>
      <c r="D39" s="86">
        <f>'Reference VO 2017'!K22*$H$24</f>
        <v>0.19751591664755525</v>
      </c>
      <c r="E39" s="87">
        <f>'Reference VO 2017'!L22</f>
        <v>7273500</v>
      </c>
      <c r="F39" s="262">
        <f t="shared" si="17"/>
        <v>5.2560873274032728E-2</v>
      </c>
      <c r="G39" s="262">
        <f t="shared" si="16"/>
        <v>1.0381609064516562E-2</v>
      </c>
      <c r="H39" s="46">
        <f>SUMIFS(Forecasts!$G$5:$G$34,Forecasts!$B$5:$B$34,"Exit",Forecasts!$E$5:$E$34,$B39,Forecasts!$C$5:$C$34,H$6)*GCV*1000</f>
        <v>5749393.0000000009</v>
      </c>
      <c r="I39" s="46">
        <f>SUMIFS(Forecasts!$G$5:$G$34,Forecasts!$B$5:$B$34,"Exit",Forecasts!$E$5:$E$34,$B39,Forecasts!$C$5:$C$34,I$6)*GCV*1000</f>
        <v>0</v>
      </c>
      <c r="J39" s="52">
        <f t="shared" si="9"/>
        <v>2.8089703913767326E-2</v>
      </c>
      <c r="K39" s="52">
        <f>1-discount_storage_exit</f>
        <v>0.5</v>
      </c>
      <c r="L39" s="284">
        <f t="shared" si="10"/>
        <v>2.0817158096201362E-2</v>
      </c>
      <c r="M39" s="284">
        <f>'Reference VO 2017'!M22</f>
        <v>0.4</v>
      </c>
      <c r="N39" s="52">
        <f t="shared" si="11"/>
        <v>0.9</v>
      </c>
      <c r="O39" s="284">
        <f t="shared" si="12"/>
        <v>1.8735442286581225E-2</v>
      </c>
      <c r="P39" s="284">
        <f>'Reference VO 2017'!N22</f>
        <v>0</v>
      </c>
      <c r="Q39" s="86">
        <f t="shared" si="13"/>
        <v>2.1453750254468253E-2</v>
      </c>
      <c r="R39" s="86">
        <f t="shared" si="14"/>
        <v>1.9308375229021426E-2</v>
      </c>
      <c r="T39" s="471">
        <f>Q39*VTPB!H39</f>
        <v>123346.04153678798</v>
      </c>
      <c r="U39" s="472">
        <f>R39*VTPB!I39</f>
        <v>0</v>
      </c>
    </row>
    <row r="40" spans="1:21" x14ac:dyDescent="0.25">
      <c r="A40">
        <f t="shared" si="15"/>
        <v>9</v>
      </c>
      <c r="B40" t="s">
        <v>139</v>
      </c>
      <c r="C40" s="53" t="s">
        <v>96</v>
      </c>
      <c r="D40" s="86">
        <f>'Reference VO 2017'!K23*$H$24</f>
        <v>32.985158080141723</v>
      </c>
      <c r="E40" s="87">
        <f>'Reference VO 2017'!L23</f>
        <v>2950825</v>
      </c>
      <c r="F40" s="262">
        <f t="shared" si="17"/>
        <v>2.1323700952615335E-2</v>
      </c>
      <c r="G40" s="262">
        <f t="shared" si="16"/>
        <v>0.70336564677568547</v>
      </c>
      <c r="H40" s="46">
        <f>SUMIFS(Forecasts!$G$5:$G$34,Forecasts!$B$5:$B$34,"Exit",Forecasts!$E$5:$E$34,$B40,Forecasts!$C$5:$C$34,H$6)*GCV*1000</f>
        <v>2950825</v>
      </c>
      <c r="I40" s="46">
        <f>SUMIFS(Forecasts!$G$5:$G$34,Forecasts!$B$5:$B$34,"Exit",Forecasts!$E$5:$E$34,$B40,Forecasts!$C$5:$C$34,I$6)*GCV*1000</f>
        <v>0</v>
      </c>
      <c r="J40" s="52">
        <f t="shared" si="9"/>
        <v>2.8089703913767326E-2</v>
      </c>
      <c r="K40" s="52">
        <f>1-discount_storage_exit</f>
        <v>0.5</v>
      </c>
      <c r="L40" s="284">
        <f t="shared" si="10"/>
        <v>2.0817158096201362E-2</v>
      </c>
      <c r="M40" s="284">
        <f>'Reference VO 2017'!M23</f>
        <v>0.4</v>
      </c>
      <c r="N40" s="52">
        <f t="shared" si="11"/>
        <v>0.9</v>
      </c>
      <c r="O40" s="284">
        <f t="shared" si="12"/>
        <v>1.8735442286581225E-2</v>
      </c>
      <c r="P40" s="284">
        <f>'Reference VO 2017'!N23</f>
        <v>0</v>
      </c>
      <c r="Q40" s="86">
        <f t="shared" si="13"/>
        <v>2.1453750254468253E-2</v>
      </c>
      <c r="R40" s="86">
        <f t="shared" si="14"/>
        <v>1.9308375229021426E-2</v>
      </c>
      <c r="T40" s="471">
        <f>Q40*VTPB!H40</f>
        <v>63306.262594641281</v>
      </c>
      <c r="U40" s="472">
        <f>R40*VTPB!I40</f>
        <v>0</v>
      </c>
    </row>
    <row r="41" spans="1:21" x14ac:dyDescent="0.25">
      <c r="A41">
        <f t="shared" si="15"/>
        <v>10</v>
      </c>
      <c r="B41" s="55" t="s">
        <v>111</v>
      </c>
      <c r="C41" s="55" t="s">
        <v>94</v>
      </c>
      <c r="D41" s="86">
        <f>'Reference VO 2017'!K24*$H$24</f>
        <v>2.3701909997706627</v>
      </c>
      <c r="E41" s="87">
        <f>'Reference VO 2017'!L24</f>
        <v>4635629</v>
      </c>
      <c r="F41" s="262">
        <f t="shared" si="17"/>
        <v>3.3498688171366066E-2</v>
      </c>
      <c r="G41" s="262">
        <f t="shared" si="16"/>
        <v>7.9398289207895809E-2</v>
      </c>
      <c r="H41" s="87">
        <f>Forecasts!F16</f>
        <v>21442272.456849314</v>
      </c>
      <c r="I41" s="87">
        <f>Forecasts!F20+Forecasts!F21</f>
        <v>7014292</v>
      </c>
      <c r="J41" s="52">
        <f t="shared" si="9"/>
        <v>5.2778283601966326E-2</v>
      </c>
      <c r="K41" s="52">
        <v>1</v>
      </c>
      <c r="L41" s="284">
        <f t="shared" si="10"/>
        <v>7.8227515474080384E-2</v>
      </c>
      <c r="M41" s="284">
        <f>'Reference VO 2017'!M24</f>
        <v>0.53</v>
      </c>
      <c r="N41" s="52">
        <f t="shared" si="11"/>
        <v>0.9</v>
      </c>
      <c r="O41" s="284">
        <f t="shared" si="12"/>
        <v>7.0404763926672345E-2</v>
      </c>
      <c r="P41" s="284">
        <f>'Reference VO 2017'!N24</f>
        <v>0.48</v>
      </c>
      <c r="Q41" s="86">
        <f t="shared" si="13"/>
        <v>8.0619725913246357E-2</v>
      </c>
      <c r="R41" s="86">
        <f t="shared" si="14"/>
        <v>7.2557753321921714E-2</v>
      </c>
      <c r="T41" s="471">
        <f>Q41*VTPB!H41</f>
        <v>0</v>
      </c>
      <c r="U41" s="472">
        <f>R41*VTPB!I41</f>
        <v>336350.82547394664</v>
      </c>
    </row>
    <row r="42" spans="1:21" x14ac:dyDescent="0.25">
      <c r="A42">
        <f t="shared" si="15"/>
        <v>11</v>
      </c>
      <c r="B42" s="55" t="s">
        <v>112</v>
      </c>
      <c r="C42" s="55" t="s">
        <v>94</v>
      </c>
      <c r="D42" s="86">
        <f>'Reference VO 2017'!K25*$H$24</f>
        <v>7.703120749254655</v>
      </c>
      <c r="E42" s="87">
        <f>'Reference VO 2017'!L25</f>
        <v>0</v>
      </c>
      <c r="F42" s="262">
        <f t="shared" si="17"/>
        <v>0</v>
      </c>
      <c r="G42" s="262">
        <f t="shared" si="16"/>
        <v>0</v>
      </c>
      <c r="H42" s="87"/>
      <c r="I42" s="87"/>
      <c r="J42" s="52">
        <f t="shared" si="9"/>
        <v>5.2778283601966326E-2</v>
      </c>
      <c r="K42" s="52">
        <v>1</v>
      </c>
      <c r="L42" s="284">
        <f t="shared" si="10"/>
        <v>7.8227515474080384E-2</v>
      </c>
      <c r="M42" s="284">
        <f>'Reference VO 2017'!M25</f>
        <v>0.53</v>
      </c>
      <c r="N42" s="52">
        <f t="shared" si="11"/>
        <v>0.9</v>
      </c>
      <c r="O42" s="284">
        <f t="shared" si="12"/>
        <v>7.0404763926672345E-2</v>
      </c>
      <c r="P42" s="284">
        <f>'Reference VO 2017'!N25</f>
        <v>0</v>
      </c>
      <c r="Q42" s="86">
        <f t="shared" si="13"/>
        <v>8.0619725913246357E-2</v>
      </c>
      <c r="R42" s="86">
        <f t="shared" si="14"/>
        <v>7.2557753321921714E-2</v>
      </c>
      <c r="T42" s="471">
        <f>Q42*VTPB!H42</f>
        <v>0</v>
      </c>
      <c r="U42" s="472">
        <f>R42*VTPB!I42</f>
        <v>0</v>
      </c>
    </row>
    <row r="43" spans="1:21" x14ac:dyDescent="0.25">
      <c r="A43">
        <f t="shared" si="15"/>
        <v>12</v>
      </c>
      <c r="B43" s="55" t="s">
        <v>113</v>
      </c>
      <c r="C43" s="55" t="s">
        <v>94</v>
      </c>
      <c r="D43" s="86">
        <f>'Reference VO 2017'!K26*$H$24</f>
        <v>13.134808457062423</v>
      </c>
      <c r="E43" s="87">
        <f>'Reference VO 2017'!L26</f>
        <v>0</v>
      </c>
      <c r="F43" s="262">
        <f t="shared" si="17"/>
        <v>0</v>
      </c>
      <c r="G43" s="262">
        <f t="shared" si="16"/>
        <v>0</v>
      </c>
      <c r="H43" s="87"/>
      <c r="I43" s="87"/>
      <c r="J43" s="52">
        <f t="shared" si="9"/>
        <v>5.2778283601966326E-2</v>
      </c>
      <c r="K43" s="52">
        <v>1</v>
      </c>
      <c r="L43" s="284">
        <f t="shared" si="10"/>
        <v>7.8227515474080384E-2</v>
      </c>
      <c r="M43" s="284">
        <f>'Reference VO 2017'!M26</f>
        <v>0.53</v>
      </c>
      <c r="N43" s="52">
        <f t="shared" si="11"/>
        <v>0.9</v>
      </c>
      <c r="O43" s="284">
        <f t="shared" si="12"/>
        <v>7.0404763926672345E-2</v>
      </c>
      <c r="P43" s="284">
        <f>'Reference VO 2017'!N26</f>
        <v>0</v>
      </c>
      <c r="Q43" s="86">
        <f t="shared" si="13"/>
        <v>8.0619725913246357E-2</v>
      </c>
      <c r="R43" s="86">
        <f t="shared" si="14"/>
        <v>7.2557753321921714E-2</v>
      </c>
      <c r="T43" s="471">
        <f>Q43*VTPB!H43</f>
        <v>0</v>
      </c>
      <c r="U43" s="472">
        <f>R43*VTPB!I43</f>
        <v>0</v>
      </c>
    </row>
    <row r="44" spans="1:21" x14ac:dyDescent="0.25">
      <c r="A44">
        <f t="shared" si="15"/>
        <v>13</v>
      </c>
      <c r="B44" s="55" t="s">
        <v>114</v>
      </c>
      <c r="C44" s="55" t="s">
        <v>94</v>
      </c>
      <c r="D44" s="86">
        <f>'Reference VO 2017'!K27*$H$24</f>
        <v>18.270222289898861</v>
      </c>
      <c r="E44" s="87">
        <f>'Reference VO 2017'!L27</f>
        <v>0</v>
      </c>
      <c r="F44" s="262">
        <f t="shared" si="17"/>
        <v>0</v>
      </c>
      <c r="G44" s="262">
        <f t="shared" si="16"/>
        <v>0</v>
      </c>
      <c r="H44" s="87"/>
      <c r="I44" s="87"/>
      <c r="J44" s="52">
        <f t="shared" si="9"/>
        <v>5.2778283601966326E-2</v>
      </c>
      <c r="K44" s="52">
        <v>1</v>
      </c>
      <c r="L44" s="284">
        <f t="shared" si="10"/>
        <v>7.8227515474080384E-2</v>
      </c>
      <c r="M44" s="284">
        <f>'Reference VO 2017'!M27</f>
        <v>0.53</v>
      </c>
      <c r="N44" s="52">
        <f t="shared" si="11"/>
        <v>0.9</v>
      </c>
      <c r="O44" s="284">
        <f t="shared" si="12"/>
        <v>7.0404763926672345E-2</v>
      </c>
      <c r="P44" s="284">
        <f>'Reference VO 2017'!N27</f>
        <v>0</v>
      </c>
      <c r="Q44" s="86">
        <f t="shared" si="13"/>
        <v>8.0619725913246357E-2</v>
      </c>
      <c r="R44" s="86">
        <f t="shared" si="14"/>
        <v>7.2557753321921714E-2</v>
      </c>
      <c r="T44" s="471">
        <f>Q44*VTPB!H44</f>
        <v>0</v>
      </c>
      <c r="U44" s="472">
        <f>R44*VTPB!I44</f>
        <v>0</v>
      </c>
    </row>
    <row r="45" spans="1:21" x14ac:dyDescent="0.25">
      <c r="A45">
        <f t="shared" si="15"/>
        <v>14</v>
      </c>
      <c r="B45" s="55" t="s">
        <v>115</v>
      </c>
      <c r="C45" s="55" t="s">
        <v>94</v>
      </c>
      <c r="D45" s="86">
        <f>'Reference VO 2017'!K28*$H$24</f>
        <v>19.94910758140308</v>
      </c>
      <c r="E45" s="87">
        <f>'Reference VO 2017'!L28</f>
        <v>2378658</v>
      </c>
      <c r="F45" s="262">
        <f t="shared" si="17"/>
        <v>1.718902065034222E-2</v>
      </c>
      <c r="G45" s="262">
        <f t="shared" si="16"/>
        <v>0.34290562217263609</v>
      </c>
      <c r="H45" s="87"/>
      <c r="I45" s="87"/>
      <c r="J45" s="52">
        <f t="shared" si="9"/>
        <v>5.2778283601966326E-2</v>
      </c>
      <c r="K45" s="52">
        <v>1</v>
      </c>
      <c r="L45" s="284">
        <f t="shared" si="10"/>
        <v>7.8227515474080384E-2</v>
      </c>
      <c r="M45" s="284">
        <f>'Reference VO 2017'!M28</f>
        <v>0.53</v>
      </c>
      <c r="N45" s="52">
        <f t="shared" si="11"/>
        <v>0.9</v>
      </c>
      <c r="O45" s="284">
        <f t="shared" si="12"/>
        <v>7.0404763926672345E-2</v>
      </c>
      <c r="P45" s="284">
        <f>'Reference VO 2017'!N28</f>
        <v>0.48</v>
      </c>
      <c r="Q45" s="86">
        <f t="shared" si="13"/>
        <v>8.0619725913246357E-2</v>
      </c>
      <c r="R45" s="86">
        <f t="shared" si="14"/>
        <v>7.2557753321921714E-2</v>
      </c>
      <c r="T45" s="471">
        <f>Q45*VTPB!H45</f>
        <v>0</v>
      </c>
      <c r="U45" s="472">
        <f>R45*VTPB!I45</f>
        <v>172590.44318998227</v>
      </c>
    </row>
    <row r="46" spans="1:21" x14ac:dyDescent="0.25">
      <c r="A46">
        <f t="shared" si="15"/>
        <v>15</v>
      </c>
      <c r="B46" s="61" t="s">
        <v>116</v>
      </c>
      <c r="C46" s="55" t="s">
        <v>94</v>
      </c>
      <c r="D46" s="86">
        <f>'Reference VO 2017'!K29*$H$24</f>
        <v>21.924266747878633</v>
      </c>
      <c r="E46" s="87">
        <f>'Reference VO 2017'!L29</f>
        <v>0</v>
      </c>
      <c r="F46" s="262">
        <f t="shared" si="17"/>
        <v>0</v>
      </c>
      <c r="G46" s="262">
        <f t="shared" si="16"/>
        <v>0</v>
      </c>
      <c r="H46" s="87"/>
      <c r="I46" s="87"/>
      <c r="J46" s="52">
        <f t="shared" si="9"/>
        <v>5.2778283601966326E-2</v>
      </c>
      <c r="K46" s="52">
        <v>1</v>
      </c>
      <c r="L46" s="284">
        <f t="shared" si="10"/>
        <v>7.8227515474080384E-2</v>
      </c>
      <c r="M46" s="284">
        <f>'Reference VO 2017'!M29</f>
        <v>0.53</v>
      </c>
      <c r="N46" s="52">
        <f t="shared" si="11"/>
        <v>0.9</v>
      </c>
      <c r="O46" s="284">
        <f t="shared" si="12"/>
        <v>7.0404763926672345E-2</v>
      </c>
      <c r="P46" s="284">
        <f>'Reference VO 2017'!N29</f>
        <v>0</v>
      </c>
      <c r="Q46" s="86">
        <f t="shared" si="13"/>
        <v>8.0619725913246357E-2</v>
      </c>
      <c r="R46" s="86">
        <f t="shared" si="14"/>
        <v>7.2557753321921714E-2</v>
      </c>
      <c r="T46" s="471">
        <f>Q46*VTPB!H46</f>
        <v>0</v>
      </c>
      <c r="U46" s="472">
        <f>R46*VTPB!I46</f>
        <v>0</v>
      </c>
    </row>
    <row r="47" spans="1:21" x14ac:dyDescent="0.25">
      <c r="A47">
        <f t="shared" si="15"/>
        <v>16</v>
      </c>
      <c r="B47" s="61" t="s">
        <v>117</v>
      </c>
      <c r="C47" s="55" t="s">
        <v>94</v>
      </c>
      <c r="D47" s="86">
        <f>'Reference VO 2017'!K30*$H$24</f>
        <v>0</v>
      </c>
      <c r="E47" s="87">
        <f>'Reference VO 2017'!L30</f>
        <v>21422795</v>
      </c>
      <c r="F47" s="262">
        <f t="shared" si="17"/>
        <v>0.15480866339046978</v>
      </c>
      <c r="G47" s="262">
        <f t="shared" si="16"/>
        <v>0</v>
      </c>
      <c r="H47" s="87"/>
      <c r="I47" s="87"/>
      <c r="J47" s="52">
        <f t="shared" si="9"/>
        <v>5.2778283601966326E-2</v>
      </c>
      <c r="K47" s="52">
        <v>1</v>
      </c>
      <c r="L47" s="284">
        <f t="shared" si="10"/>
        <v>7.8227515474080384E-2</v>
      </c>
      <c r="M47" s="284">
        <f>'Reference VO 2017'!M30</f>
        <v>0.53</v>
      </c>
      <c r="N47" s="52">
        <f t="shared" si="11"/>
        <v>0.9</v>
      </c>
      <c r="O47" s="284">
        <f t="shared" si="12"/>
        <v>7.0404763926672345E-2</v>
      </c>
      <c r="P47" s="284">
        <f>'Reference VO 2017'!N30</f>
        <v>0</v>
      </c>
      <c r="Q47" s="86">
        <f t="shared" si="13"/>
        <v>8.0619725913246357E-2</v>
      </c>
      <c r="R47" s="86">
        <f t="shared" si="14"/>
        <v>7.2557753321921714E-2</v>
      </c>
      <c r="T47" s="471">
        <f>Q47*VTPB!H47</f>
        <v>1728670.1284283432</v>
      </c>
      <c r="U47" s="472">
        <f>R47*VTPB!I47</f>
        <v>0</v>
      </c>
    </row>
    <row r="48" spans="1:21" x14ac:dyDescent="0.25">
      <c r="A48">
        <f t="shared" si="15"/>
        <v>17</v>
      </c>
      <c r="B48" s="61" t="s">
        <v>118</v>
      </c>
      <c r="C48" s="55" t="s">
        <v>94</v>
      </c>
      <c r="D48" s="86">
        <f>'Reference VO 2017'!K31*($H$25)</f>
        <v>64.752239937104051</v>
      </c>
      <c r="E48" s="87">
        <f>'Reference VO 2017'!L31</f>
        <v>1111503</v>
      </c>
      <c r="F48" s="262">
        <f t="shared" si="17"/>
        <v>8.0321122329974851E-3</v>
      </c>
      <c r="G48" s="262">
        <f t="shared" si="16"/>
        <v>0.52009725851280175</v>
      </c>
      <c r="H48" s="87">
        <f>+Forecasts!F32</f>
        <v>3562672</v>
      </c>
      <c r="I48" s="87"/>
      <c r="J48" s="52">
        <f t="shared" si="9"/>
        <v>5.2778283601966326E-2</v>
      </c>
      <c r="K48" s="52">
        <v>1</v>
      </c>
      <c r="L48" s="284">
        <f t="shared" si="10"/>
        <v>7.8227515474080384E-2</v>
      </c>
      <c r="M48" s="284">
        <f>'Reference VO 2017'!M31</f>
        <v>0.53</v>
      </c>
      <c r="N48" s="52">
        <f t="shared" si="11"/>
        <v>0.9</v>
      </c>
      <c r="O48" s="284">
        <f t="shared" si="12"/>
        <v>7.0404763926672345E-2</v>
      </c>
      <c r="P48" s="284">
        <f>'Reference VO 2017'!N31</f>
        <v>0</v>
      </c>
      <c r="Q48" s="86">
        <f t="shared" si="13"/>
        <v>8.0619725913246357E-2</v>
      </c>
      <c r="R48" s="86">
        <f t="shared" si="14"/>
        <v>7.2557753321921714E-2</v>
      </c>
      <c r="T48" s="471">
        <f>Q48*VTPB!H48</f>
        <v>89609.067211751069</v>
      </c>
      <c r="U48" s="472">
        <f>R48*VTPB!I48</f>
        <v>0</v>
      </c>
    </row>
    <row r="49" spans="1:22" x14ac:dyDescent="0.25">
      <c r="A49">
        <f t="shared" si="15"/>
        <v>18</v>
      </c>
      <c r="B49" s="61" t="s">
        <v>119</v>
      </c>
      <c r="C49" s="55" t="s">
        <v>94</v>
      </c>
      <c r="D49" s="86">
        <f>'Reference VO 2017'!K32*($H$25)</f>
        <v>123.91172324796172</v>
      </c>
      <c r="E49" s="87">
        <f>'Reference VO 2017'!L32</f>
        <v>166731</v>
      </c>
      <c r="F49" s="262">
        <f t="shared" si="17"/>
        <v>1.2048569412047502E-3</v>
      </c>
      <c r="G49" s="262">
        <f t="shared" si="16"/>
        <v>0.14929589985194869</v>
      </c>
      <c r="H49" s="87"/>
      <c r="I49" s="87"/>
      <c r="J49" s="52">
        <f t="shared" si="9"/>
        <v>5.2778283601966326E-2</v>
      </c>
      <c r="K49" s="52">
        <v>1</v>
      </c>
      <c r="L49" s="284">
        <f t="shared" si="10"/>
        <v>7.8227515474080384E-2</v>
      </c>
      <c r="M49" s="284">
        <f>'Reference VO 2017'!M32</f>
        <v>0.53</v>
      </c>
      <c r="N49" s="52">
        <f t="shared" si="11"/>
        <v>0.9</v>
      </c>
      <c r="O49" s="284">
        <f t="shared" si="12"/>
        <v>7.0404763926672345E-2</v>
      </c>
      <c r="P49" s="284">
        <f>'Reference VO 2017'!N32</f>
        <v>0</v>
      </c>
      <c r="Q49" s="86">
        <f t="shared" si="13"/>
        <v>8.0619725913246357E-2</v>
      </c>
      <c r="R49" s="86">
        <f t="shared" si="14"/>
        <v>7.2557753321921714E-2</v>
      </c>
      <c r="T49" s="471">
        <f>Q49*VTPB!H49</f>
        <v>13441.807521241479</v>
      </c>
      <c r="U49" s="472">
        <f>R49*VTPB!I49</f>
        <v>0</v>
      </c>
    </row>
    <row r="50" spans="1:22" x14ac:dyDescent="0.25">
      <c r="A50">
        <f t="shared" si="15"/>
        <v>19</v>
      </c>
      <c r="B50" s="61" t="s">
        <v>120</v>
      </c>
      <c r="C50" s="55" t="s">
        <v>94</v>
      </c>
      <c r="D50" s="86">
        <f>'Reference VO 2017'!K33*($H$25)</f>
        <v>162.43331356207932</v>
      </c>
      <c r="E50" s="87">
        <f>'Reference VO 2017'!L33</f>
        <v>221439</v>
      </c>
      <c r="F50" s="262">
        <f t="shared" si="17"/>
        <v>1.6001962214791411E-3</v>
      </c>
      <c r="G50" s="262">
        <f t="shared" si="16"/>
        <v>0.25992517460437586</v>
      </c>
      <c r="H50" s="87"/>
      <c r="I50" s="87"/>
      <c r="J50" s="52">
        <f t="shared" si="9"/>
        <v>5.2778283601966326E-2</v>
      </c>
      <c r="K50" s="52">
        <v>1</v>
      </c>
      <c r="L50" s="284">
        <f t="shared" si="10"/>
        <v>7.8227515474080384E-2</v>
      </c>
      <c r="M50" s="284">
        <f>'Reference VO 2017'!M33</f>
        <v>0.53</v>
      </c>
      <c r="N50" s="52">
        <f t="shared" si="11"/>
        <v>0.9</v>
      </c>
      <c r="O50" s="284">
        <f t="shared" si="12"/>
        <v>7.0404763926672345E-2</v>
      </c>
      <c r="P50" s="284">
        <f>'Reference VO 2017'!N33</f>
        <v>0</v>
      </c>
      <c r="Q50" s="86">
        <f t="shared" si="13"/>
        <v>8.0619725913246357E-2</v>
      </c>
      <c r="R50" s="86">
        <f t="shared" si="14"/>
        <v>7.2557753321921714E-2</v>
      </c>
      <c r="T50" s="471">
        <f>Q50*VTPB!H50</f>
        <v>17852.351486503361</v>
      </c>
      <c r="U50" s="472">
        <f>R50*VTPB!I50</f>
        <v>0</v>
      </c>
    </row>
    <row r="51" spans="1:22" x14ac:dyDescent="0.25">
      <c r="A51">
        <f t="shared" si="15"/>
        <v>20</v>
      </c>
      <c r="B51" s="61" t="s">
        <v>121</v>
      </c>
      <c r="C51" s="55" t="s">
        <v>94</v>
      </c>
      <c r="D51" s="86">
        <f>'Reference VO 2017'!K34*($H$25)</f>
        <v>189.88269477318372</v>
      </c>
      <c r="E51" s="87">
        <f>'Reference VO 2017'!L34</f>
        <v>1952543</v>
      </c>
      <c r="F51" s="262">
        <f t="shared" si="17"/>
        <v>1.4109763550573959E-2</v>
      </c>
      <c r="G51" s="262">
        <f t="shared" si="16"/>
        <v>2.679199925595428</v>
      </c>
      <c r="H51" s="87"/>
      <c r="I51" s="87"/>
      <c r="J51" s="52">
        <f t="shared" si="9"/>
        <v>5.2778283601966326E-2</v>
      </c>
      <c r="K51" s="52">
        <v>1</v>
      </c>
      <c r="L51" s="284">
        <f t="shared" si="10"/>
        <v>7.8227515474080384E-2</v>
      </c>
      <c r="M51" s="284">
        <f>'Reference VO 2017'!M34</f>
        <v>0.53</v>
      </c>
      <c r="N51" s="52">
        <f t="shared" si="11"/>
        <v>0.9</v>
      </c>
      <c r="O51" s="284">
        <f t="shared" si="12"/>
        <v>7.0404763926672345E-2</v>
      </c>
      <c r="P51" s="284">
        <f>'Reference VO 2017'!N34</f>
        <v>0</v>
      </c>
      <c r="Q51" s="86">
        <f t="shared" si="13"/>
        <v>8.0619725913246357E-2</v>
      </c>
      <c r="R51" s="86">
        <f t="shared" si="14"/>
        <v>7.2557753321921714E-2</v>
      </c>
      <c r="T51" s="471">
        <f>Q51*VTPB!H51</f>
        <v>157413.48149382777</v>
      </c>
      <c r="U51" s="472">
        <f>R51*VTPB!I51</f>
        <v>0</v>
      </c>
    </row>
    <row r="52" spans="1:22" x14ac:dyDescent="0.25">
      <c r="A52">
        <f t="shared" si="15"/>
        <v>21</v>
      </c>
      <c r="B52" s="61" t="s">
        <v>122</v>
      </c>
      <c r="C52" s="55" t="s">
        <v>94</v>
      </c>
      <c r="D52" s="86">
        <f>'Reference VO 2017'!K35*($H$25)</f>
        <v>208.50196782013654</v>
      </c>
      <c r="E52" s="87">
        <f>'Reference VO 2017'!L35</f>
        <v>110456</v>
      </c>
      <c r="F52" s="262">
        <f t="shared" si="17"/>
        <v>7.9819396691504217E-4</v>
      </c>
      <c r="G52" s="262">
        <f t="shared" si="16"/>
        <v>0.16642501280394725</v>
      </c>
      <c r="H52" s="87"/>
      <c r="I52" s="87"/>
      <c r="J52" s="52">
        <f t="shared" si="9"/>
        <v>5.2778283601966326E-2</v>
      </c>
      <c r="K52" s="52">
        <v>1</v>
      </c>
      <c r="L52" s="284">
        <f t="shared" si="10"/>
        <v>7.8227515474080384E-2</v>
      </c>
      <c r="M52" s="284">
        <f>'Reference VO 2017'!M35</f>
        <v>0.53</v>
      </c>
      <c r="N52" s="52">
        <f t="shared" si="11"/>
        <v>0.9</v>
      </c>
      <c r="O52" s="284">
        <f t="shared" si="12"/>
        <v>7.0404763926672345E-2</v>
      </c>
      <c r="P52" s="284">
        <f>'Reference VO 2017'!N35</f>
        <v>0</v>
      </c>
      <c r="Q52" s="86">
        <f t="shared" si="13"/>
        <v>8.0619725913246357E-2</v>
      </c>
      <c r="R52" s="86">
        <f t="shared" si="14"/>
        <v>7.2557753321921714E-2</v>
      </c>
      <c r="T52" s="471">
        <f>Q52*VTPB!H52</f>
        <v>8904.9324454735397</v>
      </c>
      <c r="U52" s="472">
        <f>R52*VTPB!I52</f>
        <v>0</v>
      </c>
    </row>
    <row r="53" spans="1:22" x14ac:dyDescent="0.25">
      <c r="A53">
        <f t="shared" si="15"/>
        <v>22</v>
      </c>
      <c r="B53" s="61" t="s">
        <v>123</v>
      </c>
      <c r="C53" s="55" t="s">
        <v>98</v>
      </c>
      <c r="D53" s="86">
        <f>'Reference VO 2017'!K36*($H$25)</f>
        <v>242.19619933674213</v>
      </c>
      <c r="E53" s="87">
        <f>'Reference VO 2017'!L36</f>
        <v>55223</v>
      </c>
      <c r="F53" s="262">
        <f t="shared" si="17"/>
        <v>3.9906085169614483E-4</v>
      </c>
      <c r="G53" s="262">
        <f t="shared" si="16"/>
        <v>9.6651021584889585E-2</v>
      </c>
      <c r="H53" s="87">
        <f>Forecasts!F33</f>
        <v>471871</v>
      </c>
      <c r="I53" s="87"/>
      <c r="J53" s="52">
        <f t="shared" si="9"/>
        <v>0.88624017147884326</v>
      </c>
      <c r="K53" s="52">
        <v>1</v>
      </c>
      <c r="L53" s="284">
        <f t="shared" si="10"/>
        <v>1.3135775170515385</v>
      </c>
      <c r="M53" s="284">
        <f>'Reference VO 2017'!M36</f>
        <v>4.2</v>
      </c>
      <c r="N53" s="52">
        <f t="shared" si="11"/>
        <v>0.9</v>
      </c>
      <c r="O53" s="284">
        <f t="shared" si="12"/>
        <v>1.1822197653463846</v>
      </c>
      <c r="P53" s="284">
        <f>'Reference VO 2017'!N36</f>
        <v>0</v>
      </c>
      <c r="Q53" s="86">
        <f t="shared" si="13"/>
        <v>1.3537469360839707</v>
      </c>
      <c r="R53" s="86">
        <f t="shared" si="14"/>
        <v>1.2183722424755736</v>
      </c>
      <c r="T53" s="471">
        <f>Q53*VTPB!H53</f>
        <v>74757.967051365107</v>
      </c>
      <c r="U53" s="472">
        <f>R53*VTPB!I53</f>
        <v>0</v>
      </c>
    </row>
    <row r="54" spans="1:22" x14ac:dyDescent="0.25">
      <c r="A54">
        <f t="shared" si="15"/>
        <v>23</v>
      </c>
      <c r="B54" s="61" t="s">
        <v>124</v>
      </c>
      <c r="C54" s="55" t="s">
        <v>98</v>
      </c>
      <c r="D54" s="86">
        <f>'Reference VO 2017'!K37*($H$25)</f>
        <v>270.72997299723215</v>
      </c>
      <c r="E54" s="87">
        <f>'Reference VO 2017'!L37</f>
        <v>22022</v>
      </c>
      <c r="F54" s="262">
        <f t="shared" si="17"/>
        <v>1.5913872980556111E-4</v>
      </c>
      <c r="G54" s="262">
        <f t="shared" si="16"/>
        <v>4.3083624023073384E-2</v>
      </c>
      <c r="H54" s="87"/>
      <c r="I54" s="87"/>
      <c r="J54" s="52">
        <f t="shared" si="9"/>
        <v>0.88624017147884326</v>
      </c>
      <c r="K54" s="52">
        <v>1</v>
      </c>
      <c r="L54" s="284">
        <f t="shared" si="10"/>
        <v>1.3135775170515385</v>
      </c>
      <c r="M54" s="284">
        <f>'Reference VO 2017'!M37</f>
        <v>4.2</v>
      </c>
      <c r="N54" s="52">
        <f t="shared" si="11"/>
        <v>0.9</v>
      </c>
      <c r="O54" s="284">
        <f t="shared" si="12"/>
        <v>1.1822197653463846</v>
      </c>
      <c r="P54" s="284">
        <f>'Reference VO 2017'!N37</f>
        <v>0</v>
      </c>
      <c r="Q54" s="86">
        <f t="shared" si="13"/>
        <v>1.3537469360839707</v>
      </c>
      <c r="R54" s="86">
        <f t="shared" si="14"/>
        <v>1.2183722424755736</v>
      </c>
      <c r="T54" s="471">
        <f>Q54*VTPB!H54</f>
        <v>29812.215026441201</v>
      </c>
      <c r="U54" s="472">
        <f>R54*VTPB!I54</f>
        <v>0</v>
      </c>
    </row>
    <row r="55" spans="1:22" x14ac:dyDescent="0.25">
      <c r="A55">
        <f t="shared" si="15"/>
        <v>24</v>
      </c>
      <c r="B55" s="61" t="s">
        <v>125</v>
      </c>
      <c r="C55" s="55" t="s">
        <v>98</v>
      </c>
      <c r="D55" s="86">
        <f>'Reference VO 2017'!K38*($H$25)</f>
        <v>288.85906049771728</v>
      </c>
      <c r="E55" s="87">
        <f>'Reference VO 2017'!L38</f>
        <v>110087</v>
      </c>
      <c r="F55" s="262">
        <f t="shared" si="17"/>
        <v>7.9552744292547481E-4</v>
      </c>
      <c r="G55" s="262">
        <f t="shared" si="16"/>
        <v>0.22979530976360407</v>
      </c>
      <c r="H55" s="87"/>
      <c r="I55" s="87"/>
      <c r="J55" s="52">
        <f t="shared" si="9"/>
        <v>0.88624017147884326</v>
      </c>
      <c r="K55" s="52">
        <v>1</v>
      </c>
      <c r="L55" s="284">
        <f t="shared" si="10"/>
        <v>1.3135775170515385</v>
      </c>
      <c r="M55" s="284">
        <f>'Reference VO 2017'!M38</f>
        <v>4.2</v>
      </c>
      <c r="N55" s="52">
        <f t="shared" si="11"/>
        <v>0.9</v>
      </c>
      <c r="O55" s="284">
        <f t="shared" si="12"/>
        <v>1.1822197653463846</v>
      </c>
      <c r="P55" s="284">
        <f>'Reference VO 2017'!N38</f>
        <v>0</v>
      </c>
      <c r="Q55" s="86">
        <f t="shared" si="13"/>
        <v>1.3537469360839707</v>
      </c>
      <c r="R55" s="86">
        <f t="shared" si="14"/>
        <v>1.2183722424755736</v>
      </c>
      <c r="T55" s="471">
        <f>Q55*VTPB!H55</f>
        <v>149029.93895267608</v>
      </c>
      <c r="U55" s="472">
        <f>R55*VTPB!I55</f>
        <v>0</v>
      </c>
    </row>
    <row r="56" spans="1:22" x14ac:dyDescent="0.25">
      <c r="A56">
        <f t="shared" si="15"/>
        <v>25</v>
      </c>
      <c r="B56" s="61" t="s">
        <v>126</v>
      </c>
      <c r="C56" s="55" t="s">
        <v>98</v>
      </c>
      <c r="D56" s="86">
        <f>'Reference VO 2017'!K39*($H$25)</f>
        <v>325.73112552779577</v>
      </c>
      <c r="E56" s="87">
        <f>'Reference VO 2017'!L39</f>
        <v>284539</v>
      </c>
      <c r="F56" s="262">
        <f t="shared" si="17"/>
        <v>2.0561790500474323E-3</v>
      </c>
      <c r="G56" s="262">
        <f t="shared" si="16"/>
        <v>0.66976151625862401</v>
      </c>
      <c r="H56" s="87"/>
      <c r="I56" s="87"/>
      <c r="J56" s="52">
        <f t="shared" si="9"/>
        <v>0.88624017147884326</v>
      </c>
      <c r="K56" s="52">
        <v>1</v>
      </c>
      <c r="L56" s="284">
        <f t="shared" si="10"/>
        <v>1.3135775170515385</v>
      </c>
      <c r="M56" s="284">
        <f>'Reference VO 2017'!M39</f>
        <v>4.2</v>
      </c>
      <c r="N56" s="52">
        <f t="shared" si="11"/>
        <v>0.9</v>
      </c>
      <c r="O56" s="284">
        <f t="shared" si="12"/>
        <v>1.1822197653463846</v>
      </c>
      <c r="P56" s="284">
        <f>'Reference VO 2017'!N39</f>
        <v>0</v>
      </c>
      <c r="Q56" s="86">
        <f t="shared" si="13"/>
        <v>1.3537469360839707</v>
      </c>
      <c r="R56" s="86">
        <f t="shared" si="14"/>
        <v>1.2183722424755736</v>
      </c>
      <c r="T56" s="473">
        <f>Q56*VTPB!H56</f>
        <v>385193.79944639694</v>
      </c>
      <c r="U56" s="474">
        <f>R56*VTPB!I56</f>
        <v>0</v>
      </c>
    </row>
    <row r="57" spans="1:22" x14ac:dyDescent="0.25">
      <c r="A57">
        <v>26</v>
      </c>
      <c r="B57" s="55" t="s">
        <v>276</v>
      </c>
      <c r="C57" s="262"/>
      <c r="D57" s="53"/>
      <c r="E57" s="53"/>
      <c r="F57" s="53"/>
      <c r="G57" s="53"/>
      <c r="H57" s="68"/>
      <c r="I57" s="68"/>
      <c r="J57" s="68"/>
      <c r="K57" s="481"/>
      <c r="L57" s="481"/>
      <c r="M57" s="481"/>
      <c r="N57" s="482"/>
      <c r="O57" s="482"/>
      <c r="P57" s="482"/>
      <c r="Q57" s="86">
        <f>Q52</f>
        <v>8.0619725913246357E-2</v>
      </c>
      <c r="R57" s="86">
        <f>R52</f>
        <v>7.2557753321921714E-2</v>
      </c>
      <c r="T57">
        <f>SUM(T32:T56)</f>
        <v>82967177.735865638</v>
      </c>
      <c r="U57" s="283">
        <f>SUM(U32:U56)</f>
        <v>1205861.336494267</v>
      </c>
    </row>
    <row r="58" spans="1:22" x14ac:dyDescent="0.25">
      <c r="A58">
        <v>27</v>
      </c>
      <c r="B58" s="55" t="s">
        <v>275</v>
      </c>
      <c r="C58" s="39"/>
      <c r="E58" s="53"/>
      <c r="F58" s="53"/>
      <c r="G58" s="53"/>
      <c r="H58" s="68"/>
      <c r="I58" s="68"/>
      <c r="J58" s="68"/>
      <c r="K58" s="481"/>
      <c r="L58" s="481"/>
      <c r="M58" s="481"/>
      <c r="N58" s="482"/>
      <c r="O58" s="482"/>
      <c r="P58" s="57"/>
      <c r="Q58" s="86">
        <f>Q53</f>
        <v>1.3537469360839707</v>
      </c>
      <c r="R58" s="86">
        <f>R53</f>
        <v>1.2183722424755736</v>
      </c>
    </row>
    <row r="59" spans="1:22" x14ac:dyDescent="0.25">
      <c r="C59" s="39"/>
      <c r="D59" s="38"/>
      <c r="E59" s="39"/>
      <c r="F59" s="39"/>
      <c r="G59" s="37"/>
      <c r="H59" s="56"/>
      <c r="I59" s="56"/>
      <c r="J59" s="53"/>
      <c r="L59" s="40"/>
      <c r="M59" s="40"/>
    </row>
    <row r="60" spans="1:22" x14ac:dyDescent="0.25">
      <c r="A60" s="33" t="s">
        <v>129</v>
      </c>
      <c r="J60" s="53"/>
      <c r="V60" s="58"/>
    </row>
    <row r="61" spans="1:22" ht="45" x14ac:dyDescent="0.25">
      <c r="A61" s="35" t="s">
        <v>62</v>
      </c>
      <c r="B61" s="35" t="s">
        <v>137</v>
      </c>
      <c r="C61" s="35" t="str">
        <f>+E31</f>
        <v>Relevant technical capacity (TVK)</v>
      </c>
      <c r="D61" s="35" t="s">
        <v>77</v>
      </c>
      <c r="E61" s="35" t="s">
        <v>78</v>
      </c>
      <c r="F61" s="35" t="s">
        <v>165</v>
      </c>
      <c r="G61" s="35" t="s">
        <v>166</v>
      </c>
      <c r="H61" s="66" t="s">
        <v>103</v>
      </c>
      <c r="V61" s="58"/>
    </row>
    <row r="62" spans="1:22" x14ac:dyDescent="0.25">
      <c r="A62">
        <f>1</f>
        <v>1</v>
      </c>
      <c r="B62" t="s">
        <v>97</v>
      </c>
      <c r="C62" s="67">
        <f t="shared" ref="C62:C68" si="18">SUMIF($C$32:$C$56,$B62,E$32:E$56)</f>
        <v>50014969</v>
      </c>
      <c r="D62" s="46">
        <f>+SUMPRODUCT(($C$32:$C$56=B62)*$D$32:$D$56*$E$32:$E$56)/C62</f>
        <v>343.90897923515598</v>
      </c>
      <c r="E62" s="37">
        <f>D62/$D$32</f>
        <v>1</v>
      </c>
      <c r="F62" s="46">
        <f t="shared" ref="F62:G68" si="19">SUMIF($C$32:$C$56,$B62,H$32:H$56)</f>
        <v>48558893.100000009</v>
      </c>
      <c r="G62" s="46">
        <f t="shared" si="19"/>
        <v>0</v>
      </c>
      <c r="H62" s="62">
        <f t="shared" ref="H62:H68" si="20">1-discount_DZK</f>
        <v>0.9</v>
      </c>
      <c r="K62" s="59"/>
      <c r="V62" s="58"/>
    </row>
    <row r="63" spans="1:22" x14ac:dyDescent="0.25">
      <c r="A63">
        <v>2</v>
      </c>
      <c r="B63" t="s">
        <v>93</v>
      </c>
      <c r="C63" s="67">
        <f t="shared" si="18"/>
        <v>4688610</v>
      </c>
      <c r="D63" s="46">
        <f t="shared" ref="D63:D68" si="21">+SUMPRODUCT(($C$32:$C$56=B63)*$D$32:$D$56*$E$32:$E$56)/C63</f>
        <v>214.49560591894092</v>
      </c>
      <c r="E63" s="37">
        <f t="shared" ref="E63:E68" si="22">D63/$D$32</f>
        <v>0.62369876586523909</v>
      </c>
      <c r="F63" s="46">
        <f t="shared" si="19"/>
        <v>3382423.6799999997</v>
      </c>
      <c r="G63" s="46">
        <f t="shared" si="19"/>
        <v>0</v>
      </c>
      <c r="H63" s="62">
        <f t="shared" si="20"/>
        <v>0.9</v>
      </c>
      <c r="K63" s="59"/>
      <c r="V63" s="58"/>
    </row>
    <row r="64" spans="1:22" x14ac:dyDescent="0.25">
      <c r="A64">
        <v>3</v>
      </c>
      <c r="B64" t="str">
        <f>+C33</f>
        <v>Exit East</v>
      </c>
      <c r="C64" s="67">
        <f t="shared" si="18"/>
        <v>17769300</v>
      </c>
      <c r="D64" s="46">
        <f>+SUMPRODUCT(($C$32:$C$56=B64)*$D$32:$D$56*$E$32:$E$56)/C64</f>
        <v>15.670230753146303</v>
      </c>
      <c r="E64" s="37">
        <f t="shared" si="22"/>
        <v>4.556505267177513E-2</v>
      </c>
      <c r="F64" s="46">
        <f t="shared" si="19"/>
        <v>11814771.27</v>
      </c>
      <c r="G64" s="46">
        <f t="shared" si="19"/>
        <v>0</v>
      </c>
      <c r="H64" s="62">
        <f t="shared" si="20"/>
        <v>0.9</v>
      </c>
      <c r="K64" s="59"/>
      <c r="V64" s="58"/>
    </row>
    <row r="65" spans="1:11" x14ac:dyDescent="0.25">
      <c r="A65">
        <v>5</v>
      </c>
      <c r="B65" t="s">
        <v>92</v>
      </c>
      <c r="C65" s="67">
        <f t="shared" si="18"/>
        <v>23213575</v>
      </c>
      <c r="D65" s="46">
        <f t="shared" si="21"/>
        <v>26.952149897082478</v>
      </c>
      <c r="E65" s="37">
        <f t="shared" si="22"/>
        <v>7.8370009288571962E-2</v>
      </c>
      <c r="F65" s="46">
        <f t="shared" si="19"/>
        <v>15925865.369999999</v>
      </c>
      <c r="G65" s="46">
        <f t="shared" si="19"/>
        <v>6468513.7800000003</v>
      </c>
      <c r="H65" s="62">
        <f t="shared" si="20"/>
        <v>0.9</v>
      </c>
      <c r="K65" s="59"/>
    </row>
    <row r="66" spans="1:11" x14ac:dyDescent="0.25">
      <c r="A66">
        <v>6</v>
      </c>
      <c r="B66" t="s">
        <v>94</v>
      </c>
      <c r="C66" s="67">
        <f t="shared" si="18"/>
        <v>31999754</v>
      </c>
      <c r="D66" s="46">
        <f t="shared" si="21"/>
        <v>18.15092563933581</v>
      </c>
      <c r="E66" s="37">
        <f t="shared" si="22"/>
        <v>5.2778283601966326E-2</v>
      </c>
      <c r="F66" s="46">
        <f t="shared" si="19"/>
        <v>25004944.456849314</v>
      </c>
      <c r="G66" s="46">
        <f t="shared" si="19"/>
        <v>7014292</v>
      </c>
      <c r="H66" s="62">
        <f t="shared" si="20"/>
        <v>0.9</v>
      </c>
      <c r="K66" s="59"/>
    </row>
    <row r="67" spans="1:11" x14ac:dyDescent="0.25">
      <c r="A67">
        <v>7</v>
      </c>
      <c r="B67" t="s">
        <v>98</v>
      </c>
      <c r="C67" s="67">
        <f t="shared" si="18"/>
        <v>471871</v>
      </c>
      <c r="D67" s="46">
        <f t="shared" si="21"/>
        <v>304.78595273047858</v>
      </c>
      <c r="E67" s="37">
        <f t="shared" si="22"/>
        <v>0.88624017147884326</v>
      </c>
      <c r="F67" s="46">
        <f t="shared" si="19"/>
        <v>471871</v>
      </c>
      <c r="G67" s="46">
        <f t="shared" si="19"/>
        <v>0</v>
      </c>
      <c r="H67" s="62">
        <f t="shared" si="20"/>
        <v>0.9</v>
      </c>
      <c r="K67" s="59"/>
    </row>
    <row r="68" spans="1:11" x14ac:dyDescent="0.25">
      <c r="A68">
        <v>8</v>
      </c>
      <c r="B68" t="s">
        <v>96</v>
      </c>
      <c r="C68" s="67">
        <f t="shared" si="18"/>
        <v>10224325</v>
      </c>
      <c r="D68" s="46">
        <f t="shared" si="21"/>
        <v>9.6603014000014866</v>
      </c>
      <c r="E68" s="37">
        <f t="shared" si="22"/>
        <v>2.8089703913767326E-2</v>
      </c>
      <c r="F68" s="46">
        <f t="shared" si="19"/>
        <v>8700218</v>
      </c>
      <c r="G68" s="46">
        <f t="shared" si="19"/>
        <v>0</v>
      </c>
      <c r="H68" s="62">
        <f t="shared" si="20"/>
        <v>0.9</v>
      </c>
      <c r="K68" s="59"/>
    </row>
    <row r="69" spans="1:11" x14ac:dyDescent="0.25">
      <c r="F69" s="38"/>
      <c r="G69" s="38"/>
    </row>
    <row r="70" spans="1:11" x14ac:dyDescent="0.25">
      <c r="B70" s="29" t="s">
        <v>403</v>
      </c>
      <c r="C70" s="54">
        <f>1-EX_split_entry_theor_comm</f>
        <v>0.7600298399103077</v>
      </c>
      <c r="E70" s="37"/>
    </row>
    <row r="71" spans="1:11" x14ac:dyDescent="0.25">
      <c r="B71" s="29" t="s">
        <v>131</v>
      </c>
      <c r="C71" s="31">
        <f>(1-EX_split_entry_theor_comm)*costs_commodity</f>
        <v>81856505.809067994</v>
      </c>
    </row>
    <row r="72" spans="1:11" x14ac:dyDescent="0.25">
      <c r="B72" s="29" t="s">
        <v>132</v>
      </c>
      <c r="C72" s="67">
        <f>C71/(SUMPRODUCT($E$62:$E$68,$F$62:$F$68)+SUMPRODUCT($E$62:$E$68,$G$62:$G$68,$H$62:$H$68))</f>
        <v>1.4821913509738673</v>
      </c>
    </row>
    <row r="73" spans="1:11" x14ac:dyDescent="0.25">
      <c r="B73" s="29" t="s">
        <v>108</v>
      </c>
      <c r="C73" s="475">
        <f>rescaling_entry_comm</f>
        <v>1.0305801663860665</v>
      </c>
    </row>
    <row r="74" spans="1:11" x14ac:dyDescent="0.25">
      <c r="B74" s="29"/>
      <c r="D74" s="60"/>
    </row>
  </sheetData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Tabelle9">
    <tabColor theme="4"/>
  </sheetPr>
  <dimension ref="A1:AA43"/>
  <sheetViews>
    <sheetView zoomScale="85" zoomScaleNormal="85" workbookViewId="0">
      <selection activeCell="B36" sqref="B36"/>
    </sheetView>
  </sheetViews>
  <sheetFormatPr baseColWidth="10" defaultColWidth="11.42578125" defaultRowHeight="15" x14ac:dyDescent="0.25"/>
  <cols>
    <col min="1" max="1" width="2" style="129" customWidth="1"/>
    <col min="2" max="2" width="3" style="129" bestFit="1" customWidth="1"/>
    <col min="3" max="3" width="18.5703125" style="129" customWidth="1"/>
    <col min="4" max="4" width="13" style="129" customWidth="1"/>
    <col min="5" max="14" width="13.140625" style="129" customWidth="1"/>
    <col min="15" max="16" width="15.5703125" style="129" customWidth="1"/>
    <col min="17" max="17" width="11.5703125" style="129" customWidth="1"/>
    <col min="18" max="18" width="10.85546875" style="129" customWidth="1"/>
    <col min="19" max="19" width="11.85546875" style="129" customWidth="1"/>
    <col min="20" max="20" width="13.140625" style="129" customWidth="1"/>
    <col min="21" max="21" width="15.5703125" style="129" customWidth="1"/>
    <col min="22" max="22" width="10.5703125" style="129" customWidth="1"/>
    <col min="23" max="23" width="9" style="129" customWidth="1"/>
    <col min="24" max="24" width="10.42578125" style="129" customWidth="1"/>
    <col min="25" max="16384" width="11.42578125" style="129"/>
  </cols>
  <sheetData>
    <row r="1" spans="1:25" x14ac:dyDescent="0.25">
      <c r="A1" s="127"/>
      <c r="B1" s="127"/>
      <c r="C1" s="128" t="s">
        <v>226</v>
      </c>
      <c r="D1" s="128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  <c r="U1" s="127"/>
      <c r="V1" s="127"/>
      <c r="W1" s="127"/>
    </row>
    <row r="2" spans="1:25" x14ac:dyDescent="0.25">
      <c r="A2" s="127"/>
      <c r="B2" s="127"/>
      <c r="C2" s="130"/>
      <c r="D2" s="130"/>
      <c r="E2" s="648" t="s">
        <v>83</v>
      </c>
      <c r="F2" s="649"/>
      <c r="G2" s="649"/>
      <c r="H2" s="649"/>
      <c r="I2" s="649"/>
      <c r="J2" s="649"/>
      <c r="K2" s="649"/>
      <c r="L2" s="649"/>
      <c r="M2" s="650"/>
      <c r="N2" s="392"/>
      <c r="O2" s="127"/>
      <c r="P2" s="127"/>
      <c r="Q2" s="127"/>
      <c r="R2" s="127"/>
      <c r="S2" s="127"/>
      <c r="T2" s="127"/>
      <c r="U2" s="127"/>
      <c r="V2" s="127"/>
      <c r="W2" s="127"/>
    </row>
    <row r="3" spans="1:25" x14ac:dyDescent="0.25">
      <c r="A3" s="127"/>
      <c r="B3" s="127"/>
      <c r="C3" s="200" t="s">
        <v>224</v>
      </c>
      <c r="D3" s="200"/>
      <c r="E3" s="202" t="s">
        <v>222</v>
      </c>
      <c r="F3" s="202" t="s">
        <v>222</v>
      </c>
      <c r="G3" s="202" t="s">
        <v>222</v>
      </c>
      <c r="H3" s="202" t="s">
        <v>222</v>
      </c>
      <c r="I3" s="202" t="s">
        <v>222</v>
      </c>
      <c r="J3" s="202" t="s">
        <v>222</v>
      </c>
      <c r="K3" s="202" t="s">
        <v>223</v>
      </c>
      <c r="L3" s="202" t="s">
        <v>223</v>
      </c>
      <c r="M3" s="202" t="s">
        <v>223</v>
      </c>
      <c r="N3" s="168" t="s">
        <v>102</v>
      </c>
      <c r="O3" s="168" t="s">
        <v>102</v>
      </c>
      <c r="P3" s="168" t="s">
        <v>193</v>
      </c>
      <c r="Q3" s="168" t="s">
        <v>193</v>
      </c>
      <c r="R3" s="168" t="s">
        <v>193</v>
      </c>
      <c r="S3" s="168" t="s">
        <v>194</v>
      </c>
      <c r="T3" s="168" t="s">
        <v>194</v>
      </c>
      <c r="U3" s="168" t="s">
        <v>145</v>
      </c>
      <c r="V3" s="127"/>
    </row>
    <row r="4" spans="1:25" ht="75" x14ac:dyDescent="0.25">
      <c r="A4" s="127"/>
      <c r="B4" s="135"/>
      <c r="C4" s="644" t="s">
        <v>221</v>
      </c>
      <c r="D4" s="645"/>
      <c r="E4" s="162" t="s">
        <v>91</v>
      </c>
      <c r="F4" s="162" t="s">
        <v>92</v>
      </c>
      <c r="G4" s="162" t="s">
        <v>92</v>
      </c>
      <c r="H4" s="162" t="s">
        <v>97</v>
      </c>
      <c r="I4" s="162" t="s">
        <v>93</v>
      </c>
      <c r="J4" s="162" t="s">
        <v>96</v>
      </c>
      <c r="K4" s="162" t="s">
        <v>98</v>
      </c>
      <c r="L4" s="162" t="s">
        <v>94</v>
      </c>
      <c r="M4" s="162" t="s">
        <v>94</v>
      </c>
      <c r="N4" s="147" t="s">
        <v>202</v>
      </c>
      <c r="O4" s="147" t="s">
        <v>204</v>
      </c>
      <c r="P4" s="147" t="s">
        <v>208</v>
      </c>
      <c r="Q4" s="147" t="s">
        <v>200</v>
      </c>
      <c r="R4" s="147" t="s">
        <v>201</v>
      </c>
      <c r="S4" s="147" t="s">
        <v>179</v>
      </c>
      <c r="T4" s="147" t="s">
        <v>180</v>
      </c>
      <c r="U4" s="147" t="s">
        <v>199</v>
      </c>
      <c r="V4" s="173"/>
    </row>
    <row r="5" spans="1:25" x14ac:dyDescent="0.25">
      <c r="A5" s="127"/>
      <c r="B5" s="135"/>
      <c r="C5" s="646"/>
      <c r="D5" s="647"/>
      <c r="E5" s="209" t="s">
        <v>84</v>
      </c>
      <c r="F5" s="209" t="s">
        <v>84</v>
      </c>
      <c r="G5" s="210" t="s">
        <v>85</v>
      </c>
      <c r="H5" s="209" t="s">
        <v>84</v>
      </c>
      <c r="I5" s="209" t="s">
        <v>84</v>
      </c>
      <c r="J5" s="209" t="s">
        <v>84</v>
      </c>
      <c r="K5" s="209" t="s">
        <v>84</v>
      </c>
      <c r="L5" s="209" t="s">
        <v>84</v>
      </c>
      <c r="M5" s="210" t="s">
        <v>85</v>
      </c>
      <c r="N5" s="147"/>
      <c r="O5" s="147"/>
      <c r="P5" s="147"/>
      <c r="Q5" s="147"/>
      <c r="R5" s="147"/>
      <c r="S5" s="199"/>
      <c r="T5" s="147"/>
      <c r="U5" s="147"/>
      <c r="V5" s="173"/>
    </row>
    <row r="6" spans="1:25" ht="14.45" customHeight="1" x14ac:dyDescent="0.25">
      <c r="A6" s="127"/>
      <c r="B6" s="652" t="s">
        <v>71</v>
      </c>
      <c r="C6" s="159" t="s">
        <v>70</v>
      </c>
      <c r="D6" s="212" t="s">
        <v>85</v>
      </c>
      <c r="E6" s="179">
        <f>'CWD Weights'!D5</f>
        <v>406.42794271774989</v>
      </c>
      <c r="F6" s="179">
        <f>'CWD Weights'!E5</f>
        <v>652.16123585293951</v>
      </c>
      <c r="G6" s="179">
        <f>F6</f>
        <v>652.16123585293951</v>
      </c>
      <c r="H6" s="179">
        <v>0</v>
      </c>
      <c r="I6" s="179">
        <f>'Reference VO 2017'!K18+'Reference VO 2017'!K5-2*'Reference VO 2017'!K34</f>
        <v>198.21445</v>
      </c>
      <c r="J6" s="179">
        <f>'CWD Weights'!H5</f>
        <v>496.19784384649444</v>
      </c>
      <c r="K6" s="179">
        <f>'CWD Weights'!I5</f>
        <v>43.410121471821753</v>
      </c>
      <c r="L6" s="179">
        <f>'CWD Weights'!J5</f>
        <v>382.64254487678897</v>
      </c>
      <c r="M6" s="179">
        <f>L6</f>
        <v>382.64254487678897</v>
      </c>
      <c r="N6" s="198">
        <f>(SUMPRODUCT($E6:$M6*$E$16:$M$16*($E$3:$M$3="Intra")))/((SUMPRODUCT($E$16:$M$16*($E$3:$M$3="Intra"))))</f>
        <v>377.71584476116152</v>
      </c>
      <c r="O6" s="198">
        <f>(SUMPRODUCT($E6:$M6*$E$16:$M$16*($E$3:$M$3="Cross")))/((SUMPRODUCT($E$16:$M$16*($E$3:$M$3="Cross"))))</f>
        <v>257.18394942668067</v>
      </c>
      <c r="P6" s="207">
        <f>SUMIFS(Forecasts!$F$5:$F$34,Forecasts!$B$5:$B$34,$B$6,Forecasts!$E$5:$E$34,$C6,Forecasts!$C$5:$C$34,$D6)/1000</f>
        <v>531.33476999999993</v>
      </c>
      <c r="Q6" s="166">
        <f t="shared" ref="Q6:Q15" si="0">P6-R6</f>
        <v>71.234677763486161</v>
      </c>
      <c r="R6" s="166">
        <f>P6/SUM($P$6:$P$15)*SUMIF($E$3:$M$3,"Cross",$E$16:$M$16)</f>
        <v>460.10009223651377</v>
      </c>
      <c r="S6" s="165">
        <f>Q6*N6</f>
        <v>26906.466487724305</v>
      </c>
      <c r="T6" s="166">
        <f>R6*O6</f>
        <v>118330.35885296667</v>
      </c>
      <c r="U6" s="167">
        <f>Overview!G51</f>
        <v>0.68200000000000005</v>
      </c>
      <c r="V6" s="174"/>
    </row>
    <row r="7" spans="1:25" x14ac:dyDescent="0.25">
      <c r="A7" s="127"/>
      <c r="B7" s="653"/>
      <c r="C7" s="159" t="s">
        <v>72</v>
      </c>
      <c r="D7" s="211" t="s">
        <v>84</v>
      </c>
      <c r="E7" s="179">
        <f>(Distances!E6*0+Distances!E10*Distances!H10+Distances!E7*Distances!G7)/(Distances!E6+Distances!E10+Distances!E7)</f>
        <v>24.833472717749871</v>
      </c>
      <c r="F7" s="179">
        <f>(Distances!G9*Distances!E9+Distances!G11*Distances!E11)/(Distances!E9+Distances!E11)</f>
        <v>270.56676585293951</v>
      </c>
      <c r="G7" s="179">
        <f>F7</f>
        <v>270.56676585293951</v>
      </c>
      <c r="H7" s="179">
        <f>Distances!G5</f>
        <v>381.59447</v>
      </c>
      <c r="I7" s="179">
        <f>Distances!G8</f>
        <v>238</v>
      </c>
      <c r="J7" s="179">
        <f>(Distances!G29*Distances!E29+Distances!G12*Distances!E12)/(Distances!E29+Distances!E12)</f>
        <v>114.60337384649442</v>
      </c>
      <c r="K7" s="179">
        <f>SUMPRODUCT(Distances!E25:E28,Distances!G25:G28)/SUM(Distances!E25:E28)</f>
        <v>338.18434852817825</v>
      </c>
      <c r="L7" s="179">
        <f>M7</f>
        <v>37.275145170465059</v>
      </c>
      <c r="M7" s="179">
        <f>SUMPRODUCT(Distances!E13:E24,Distances!G13:G24)/SUM(Distances!E13:E24)</f>
        <v>37.275145170465059</v>
      </c>
      <c r="N7" s="198">
        <f t="shared" ref="N7:N15" si="1">(SUMPRODUCT($E7:$M7*$E$16:$M$16*($E$3:$M$3="Intra")))/((SUMPRODUCT($E$16:$M$16*($E$3:$M$3="Intra"))))</f>
        <v>41.645274039915925</v>
      </c>
      <c r="O7" s="198">
        <f t="shared" ref="O7:O15" si="2">(SUMPRODUCT($E7:$M7*$E$16:$M$16*($E$3:$M$3="Cross")))/((SUMPRODUCT($E$16:$M$16*($E$3:$M$3="Cross"))))</f>
        <v>281.33136552208225</v>
      </c>
      <c r="P7" s="207">
        <f>SUMIFS(Forecasts!$F$5:$F$34,Forecasts!$B$5:$B$34,$B$6,Forecasts!$E$5:$E$34,$C7,Forecasts!$C$5:$C$34,$D7)/1000</f>
        <v>81872.00426999999</v>
      </c>
      <c r="Q7" s="166">
        <f t="shared" si="0"/>
        <v>10976.3677653247</v>
      </c>
      <c r="R7" s="166">
        <f t="shared" ref="R7:R15" si="3">P7/SUM($P$6:$P$15)*SUMIF($E$3:$M$3,"Cross",$E$16:$M$16)</f>
        <v>70895.636504675291</v>
      </c>
      <c r="S7" s="165">
        <f t="shared" ref="S7:S15" si="4">Q7*N7</f>
        <v>457113.84354984667</v>
      </c>
      <c r="T7" s="166">
        <f t="shared" ref="T7:T15" si="5">R7*O7</f>
        <v>19945166.22741748</v>
      </c>
      <c r="U7" s="167">
        <f>Overview!G9</f>
        <v>0.84700000000000009</v>
      </c>
      <c r="V7" s="174"/>
    </row>
    <row r="8" spans="1:25" x14ac:dyDescent="0.25">
      <c r="A8" s="127"/>
      <c r="B8" s="653"/>
      <c r="C8" s="159" t="s">
        <v>110</v>
      </c>
      <c r="D8" s="211" t="s">
        <v>84</v>
      </c>
      <c r="E8" s="179">
        <f>Distances!G7-E7</f>
        <v>21.166527282250129</v>
      </c>
      <c r="F8" s="179">
        <f>F7+Distances!G7</f>
        <v>316.56676585293951</v>
      </c>
      <c r="G8" s="179">
        <f>F8</f>
        <v>316.56676585293951</v>
      </c>
      <c r="H8" s="179">
        <f>H7+Distances!G7</f>
        <v>427.59447</v>
      </c>
      <c r="I8" s="179">
        <f>I7+Distances!G7</f>
        <v>284</v>
      </c>
      <c r="J8" s="179">
        <f>J7+Distances!G7</f>
        <v>160.60337384649443</v>
      </c>
      <c r="K8" s="179">
        <f>K7+Distances!G7</f>
        <v>384.18434852817825</v>
      </c>
      <c r="L8" s="179">
        <f>M7+Distances!G7</f>
        <v>83.275145170465066</v>
      </c>
      <c r="M8" s="179">
        <f>L8</f>
        <v>83.275145170465066</v>
      </c>
      <c r="N8" s="198">
        <f t="shared" si="1"/>
        <v>87.645274039915932</v>
      </c>
      <c r="O8" s="198">
        <f t="shared" si="2"/>
        <v>321.14476182214401</v>
      </c>
      <c r="P8" s="207">
        <f>SUMIFS(Forecasts!$F$5:$F$34,Forecasts!$B$5:$B$34,$B$6,Forecasts!$E$5:$E$34,$C8,Forecasts!$C$5:$C$34,$D8)/1000</f>
        <v>0</v>
      </c>
      <c r="Q8" s="166">
        <f t="shared" si="0"/>
        <v>0</v>
      </c>
      <c r="R8" s="166">
        <f t="shared" si="3"/>
        <v>0</v>
      </c>
      <c r="S8" s="165">
        <f t="shared" si="4"/>
        <v>0</v>
      </c>
      <c r="T8" s="166">
        <f t="shared" si="5"/>
        <v>0</v>
      </c>
      <c r="U8" s="167">
        <f>Overview!G12</f>
        <v>0.84700000000000009</v>
      </c>
      <c r="V8" s="174"/>
    </row>
    <row r="9" spans="1:25" x14ac:dyDescent="0.25">
      <c r="A9" s="127"/>
      <c r="B9" s="653"/>
      <c r="C9" s="159" t="s">
        <v>87</v>
      </c>
      <c r="D9" s="211" t="s">
        <v>84</v>
      </c>
      <c r="E9" s="179">
        <f>E7+I7</f>
        <v>262.83347271774988</v>
      </c>
      <c r="F9" s="179">
        <f>F7+I7</f>
        <v>508.56676585293951</v>
      </c>
      <c r="G9" s="179">
        <f>F9</f>
        <v>508.56676585293951</v>
      </c>
      <c r="H9" s="179">
        <f>I6</f>
        <v>198.21445</v>
      </c>
      <c r="I9" s="179">
        <v>0</v>
      </c>
      <c r="J9" s="179">
        <f>I7+J7</f>
        <v>352.60337384649443</v>
      </c>
      <c r="K9" s="179">
        <f>I7+K7-2*Distances!G23</f>
        <v>154.80432852817825</v>
      </c>
      <c r="L9" s="205">
        <f>SUMPRODUCT(Distances!$J$13:$J$24*Distances!$E$13:$E$24*(Distances!$C$13:$C$24=$L$5))/SUMIFS(Distances!$E$13:$E$24,Distances!$C$13:$C$24,$L$5)</f>
        <v>214.98403148352878</v>
      </c>
      <c r="M9" s="179">
        <f>L9</f>
        <v>214.98403148352878</v>
      </c>
      <c r="N9" s="198">
        <f t="shared" si="1"/>
        <v>214.110036755865</v>
      </c>
      <c r="O9" s="198">
        <f t="shared" si="2"/>
        <v>286.63108538392817</v>
      </c>
      <c r="P9" s="207">
        <f>SUMIFS(Forecasts!$F$5:$F$34,Forecasts!$B$5:$B$34,$B$6,Forecasts!$E$5:$E$34,$C9,Forecasts!$C$5:$C$34,$D9)/1000</f>
        <v>0</v>
      </c>
      <c r="Q9" s="166">
        <f t="shared" si="0"/>
        <v>0</v>
      </c>
      <c r="R9" s="166">
        <f t="shared" si="3"/>
        <v>0</v>
      </c>
      <c r="S9" s="165">
        <f t="shared" si="4"/>
        <v>0</v>
      </c>
      <c r="T9" s="166">
        <f t="shared" si="5"/>
        <v>0</v>
      </c>
      <c r="U9" s="167">
        <f>Overview!G13</f>
        <v>1.2100000000000002</v>
      </c>
      <c r="V9" s="174"/>
    </row>
    <row r="10" spans="1:25" x14ac:dyDescent="0.25">
      <c r="A10" s="127"/>
      <c r="B10" s="653"/>
      <c r="C10" s="159" t="s">
        <v>73</v>
      </c>
      <c r="D10" s="211" t="s">
        <v>84</v>
      </c>
      <c r="E10" s="179">
        <f>+E7+Distances!H6</f>
        <v>266.83347271774988</v>
      </c>
      <c r="F10" s="179">
        <f>F7-Distances!H6</f>
        <v>28.566765852939511</v>
      </c>
      <c r="G10" s="179">
        <f t="shared" ref="G10" si="6">F10</f>
        <v>28.566765852939511</v>
      </c>
      <c r="H10" s="179">
        <f>+H7+Distances!H6</f>
        <v>623.59447</v>
      </c>
      <c r="I10" s="179">
        <f>+I7+Distances!H6</f>
        <v>480</v>
      </c>
      <c r="J10" s="179">
        <f>(Distances!H12*Distances!E12+Distances!H29*Distances!E29)/(Distances!E12+Distances!E29)</f>
        <v>192.44664811847244</v>
      </c>
      <c r="K10" s="179">
        <f>+K7+Distances!H6</f>
        <v>580.18434852817825</v>
      </c>
      <c r="L10" s="179">
        <f>SUMPRODUCT(Distances!H13:H24,Distances!E13:E24)/SUM(Distances!E13:E24)</f>
        <v>241.62139261349228</v>
      </c>
      <c r="M10" s="179">
        <f>SUMPRODUCT(Distances!H13:H24,Distances!E13:E24)/SUM(Distances!E13:E24)</f>
        <v>241.62139261349228</v>
      </c>
      <c r="N10" s="198">
        <f t="shared" si="1"/>
        <v>246.53836999823025</v>
      </c>
      <c r="O10" s="198">
        <f t="shared" si="2"/>
        <v>394.00094705716651</v>
      </c>
      <c r="P10" s="207">
        <f>SUMIFS(Forecasts!$F$5:$F$34,Forecasts!$B$5:$B$34,$B$6,Forecasts!$E$5:$E$34,$C10,Forecasts!$C$5:$C$34,$D10)/1000</f>
        <v>9651.0057300000008</v>
      </c>
      <c r="Q10" s="166">
        <f t="shared" si="0"/>
        <v>1293.8853658496846</v>
      </c>
      <c r="R10" s="166">
        <f t="shared" si="3"/>
        <v>8357.1203641503162</v>
      </c>
      <c r="S10" s="165">
        <f t="shared" si="4"/>
        <v>318992.38906114508</v>
      </c>
      <c r="T10" s="166">
        <f t="shared" si="5"/>
        <v>3292713.3381459569</v>
      </c>
      <c r="U10" s="167">
        <f>Overview!G10</f>
        <v>1.4300000000000002</v>
      </c>
      <c r="V10" s="174"/>
    </row>
    <row r="11" spans="1:25" x14ac:dyDescent="0.25">
      <c r="A11" s="127"/>
      <c r="B11" s="653"/>
      <c r="C11" s="159" t="s">
        <v>139</v>
      </c>
      <c r="D11" s="211" t="s">
        <v>84</v>
      </c>
      <c r="E11" s="179">
        <f>E13-Distances!$I$29</f>
        <v>358.83347271774988</v>
      </c>
      <c r="F11" s="179">
        <f>(Distances!I29*Distances!E11+Distances!H29*Distances!E9)/(Distances!E9+Distances!E11)</f>
        <v>65.237450937772493</v>
      </c>
      <c r="G11" s="179">
        <f>F11</f>
        <v>65.237450937772493</v>
      </c>
      <c r="H11" s="179">
        <f>H13-Distances!$I$29</f>
        <v>715.59447</v>
      </c>
      <c r="I11" s="179">
        <f>I13-Distances!$I$29</f>
        <v>572</v>
      </c>
      <c r="J11" s="179">
        <f>(0*Distances!E29+Distances!E12*(Distances!I12+Distances!I29))/(Distances!E12+Distances!E29)</f>
        <v>226.00495826656297</v>
      </c>
      <c r="K11" s="179">
        <f>K13-Distances!$I$29</f>
        <v>672.18434852817825</v>
      </c>
      <c r="L11" s="179">
        <f>L13-Distances!$I$29</f>
        <v>333.62139261349222</v>
      </c>
      <c r="M11" s="179">
        <f>L11</f>
        <v>333.62139261349222</v>
      </c>
      <c r="N11" s="198">
        <f t="shared" si="1"/>
        <v>338.53836999823022</v>
      </c>
      <c r="O11" s="198">
        <f t="shared" si="2"/>
        <v>467.57703061802613</v>
      </c>
      <c r="P11" s="207">
        <f>SUMIFS(Forecasts!$F$5:$F$34,Forecasts!$B$5:$B$34,$B$6,Forecasts!$E$5:$E$34,$C11,Forecasts!$C$5:$C$34,$D11)/1000</f>
        <v>2950.8249999999998</v>
      </c>
      <c r="Q11" s="166">
        <f t="shared" si="0"/>
        <v>395.60947236981883</v>
      </c>
      <c r="R11" s="166">
        <f t="shared" si="3"/>
        <v>2555.215527630181</v>
      </c>
      <c r="S11" s="165">
        <f t="shared" si="4"/>
        <v>133928.98593193837</v>
      </c>
      <c r="T11" s="166">
        <f t="shared" si="5"/>
        <v>1194760.0889983929</v>
      </c>
      <c r="U11" s="167">
        <f>Overview!G30</f>
        <v>0</v>
      </c>
      <c r="V11" s="174"/>
    </row>
    <row r="12" spans="1:25" x14ac:dyDescent="0.25">
      <c r="A12" s="127"/>
      <c r="B12" s="653"/>
      <c r="C12" s="159" t="s">
        <v>75</v>
      </c>
      <c r="D12" s="211" t="s">
        <v>84</v>
      </c>
      <c r="E12" s="179">
        <f>E7-(Distances!G12*Distances!E6+(Distances!G10-Distances!G12)*Distances!E10)/(Distances!E6+Distances!E10)</f>
        <v>22.833472717749871</v>
      </c>
      <c r="F12" s="179">
        <f>F7+Distances!G12</f>
        <v>272.56676585293951</v>
      </c>
      <c r="G12" s="179">
        <f>F12</f>
        <v>272.56676585293951</v>
      </c>
      <c r="H12" s="179">
        <f>H7+Distances!G12</f>
        <v>383.59447</v>
      </c>
      <c r="I12" s="179">
        <f>I7+Distances!G12</f>
        <v>240</v>
      </c>
      <c r="J12" s="179">
        <f>(0*Distances!E12+(Distances!G29+Distances!G12)*Distances!E29)/(Distances!E29+Distances!E12)</f>
        <v>113.96004100127146</v>
      </c>
      <c r="K12" s="179">
        <f>K7+Distances!G12</f>
        <v>340.18434852817825</v>
      </c>
      <c r="L12" s="179">
        <f>M7+Distances!G12</f>
        <v>39.275145170465059</v>
      </c>
      <c r="M12" s="179">
        <f>L12</f>
        <v>39.275145170465059</v>
      </c>
      <c r="N12" s="198">
        <f t="shared" si="1"/>
        <v>43.645274039915925</v>
      </c>
      <c r="O12" s="198">
        <f t="shared" si="2"/>
        <v>282.59065756692246</v>
      </c>
      <c r="P12" s="207">
        <f>SUMIFS(Forecasts!$F$5:$F$34,Forecasts!$B$5:$B$34,$B$6,Forecasts!$E$5:$E$34,$C12,Forecasts!$C$5:$C$34,$D12)/1000</f>
        <v>5749.393</v>
      </c>
      <c r="Q12" s="166">
        <f t="shared" si="0"/>
        <v>770.80624272084242</v>
      </c>
      <c r="R12" s="166">
        <f t="shared" si="3"/>
        <v>4978.5867572791576</v>
      </c>
      <c r="S12" s="165">
        <f t="shared" si="4"/>
        <v>33642.049695229114</v>
      </c>
      <c r="T12" s="166">
        <f t="shared" si="5"/>
        <v>1406902.1054934894</v>
      </c>
      <c r="U12" s="167">
        <f>Overview!G31</f>
        <v>0</v>
      </c>
      <c r="V12" s="174"/>
    </row>
    <row r="13" spans="1:25" s="134" customFormat="1" x14ac:dyDescent="0.25">
      <c r="A13" s="127"/>
      <c r="B13" s="653"/>
      <c r="C13" s="159" t="s">
        <v>74</v>
      </c>
      <c r="D13" s="211" t="s">
        <v>84</v>
      </c>
      <c r="E13" s="179">
        <f>E7+Distances!I6</f>
        <v>361.83347271774988</v>
      </c>
      <c r="F13" s="179">
        <f>Distances!I6-F7</f>
        <v>66.433234147060489</v>
      </c>
      <c r="G13" s="179">
        <f>+F13</f>
        <v>66.433234147060489</v>
      </c>
      <c r="H13" s="179">
        <f>Distances!I6+H7</f>
        <v>718.59447</v>
      </c>
      <c r="I13" s="179">
        <f>Distances!I6+I7</f>
        <v>575</v>
      </c>
      <c r="J13" s="179">
        <f>+J7+Distances!I6</f>
        <v>451.60337384649443</v>
      </c>
      <c r="K13" s="179">
        <f>+K7+Distances!I6</f>
        <v>675.18434852817825</v>
      </c>
      <c r="L13" s="179">
        <f>SUMPRODUCT(Distances!I13:I24,Distances!E13:E24)/SUM(Distances!E13:E24)</f>
        <v>336.62139261349222</v>
      </c>
      <c r="M13" s="179">
        <f>L13</f>
        <v>336.62139261349222</v>
      </c>
      <c r="N13" s="198">
        <f t="shared" si="1"/>
        <v>341.53836999823017</v>
      </c>
      <c r="O13" s="198">
        <f t="shared" si="2"/>
        <v>490.56898347658068</v>
      </c>
      <c r="P13" s="207">
        <f>SUMIFS(Forecasts!$F$5:$F$34,Forecasts!$B$5:$B$34,$B$6,Forecasts!$E$5:$E$34,$C13,Forecasts!$C$5:$C$34,$D13)/1000</f>
        <v>1393.155</v>
      </c>
      <c r="Q13" s="166">
        <f t="shared" si="0"/>
        <v>186.77668600454967</v>
      </c>
      <c r="R13" s="166">
        <f t="shared" si="3"/>
        <v>1206.3783139954503</v>
      </c>
      <c r="S13" s="165">
        <f t="shared" si="4"/>
        <v>63791.404891665145</v>
      </c>
      <c r="T13" s="166">
        <f t="shared" si="5"/>
        <v>591811.7831849393</v>
      </c>
      <c r="U13" s="167">
        <f>Overview!G11</f>
        <v>1.4300000000000002</v>
      </c>
      <c r="V13" s="174"/>
      <c r="W13" s="136"/>
      <c r="X13" s="136"/>
      <c r="Y13" s="136"/>
    </row>
    <row r="14" spans="1:25" x14ac:dyDescent="0.25">
      <c r="A14" s="127"/>
      <c r="B14" s="653"/>
      <c r="C14" s="159" t="s">
        <v>74</v>
      </c>
      <c r="D14" s="212" t="s">
        <v>85</v>
      </c>
      <c r="E14" s="179">
        <f>E13</f>
        <v>361.83347271774988</v>
      </c>
      <c r="F14" s="179">
        <f t="shared" ref="F14:L14" si="7">F13</f>
        <v>66.433234147060489</v>
      </c>
      <c r="G14" s="179">
        <f t="shared" si="7"/>
        <v>66.433234147060489</v>
      </c>
      <c r="H14" s="179">
        <f t="shared" si="7"/>
        <v>718.59447</v>
      </c>
      <c r="I14" s="179">
        <f t="shared" si="7"/>
        <v>575</v>
      </c>
      <c r="J14" s="179">
        <f>J13</f>
        <v>451.60337384649443</v>
      </c>
      <c r="K14" s="179">
        <f t="shared" si="7"/>
        <v>675.18434852817825</v>
      </c>
      <c r="L14" s="179">
        <f t="shared" si="7"/>
        <v>336.62139261349222</v>
      </c>
      <c r="M14" s="179">
        <f>L14</f>
        <v>336.62139261349222</v>
      </c>
      <c r="N14" s="198">
        <f t="shared" si="1"/>
        <v>341.53836999823017</v>
      </c>
      <c r="O14" s="198">
        <f t="shared" si="2"/>
        <v>490.56898347658068</v>
      </c>
      <c r="P14" s="207">
        <f>SUMIFS(Forecasts!$F$5:$F$34,Forecasts!$B$5:$B$34,$B$6,Forecasts!$E$5:$E$34,$C14,Forecasts!$C$5:$C$34,$D14)/1000</f>
        <v>3357</v>
      </c>
      <c r="Q14" s="166">
        <f t="shared" si="0"/>
        <v>450.06430362542096</v>
      </c>
      <c r="R14" s="166">
        <f t="shared" si="3"/>
        <v>2906.935696374579</v>
      </c>
      <c r="S14" s="165">
        <f t="shared" si="4"/>
        <v>153714.22865461482</v>
      </c>
      <c r="T14" s="166">
        <f t="shared" si="5"/>
        <v>1426052.4896022633</v>
      </c>
      <c r="U14" s="167">
        <f>Overview!G23</f>
        <v>1.2870000000000001</v>
      </c>
      <c r="V14" s="174"/>
      <c r="W14" s="137"/>
      <c r="X14" s="137"/>
      <c r="Y14" s="137"/>
    </row>
    <row r="15" spans="1:25" x14ac:dyDescent="0.25">
      <c r="A15" s="127"/>
      <c r="B15" s="653"/>
      <c r="C15" s="159" t="s">
        <v>89</v>
      </c>
      <c r="D15" s="211" t="s">
        <v>84</v>
      </c>
      <c r="E15" s="179">
        <f>E7</f>
        <v>24.833472717749871</v>
      </c>
      <c r="F15" s="179">
        <f>F7</f>
        <v>270.56676585293951</v>
      </c>
      <c r="G15" s="179">
        <f>F15</f>
        <v>270.56676585293951</v>
      </c>
      <c r="H15" s="179">
        <f>H7</f>
        <v>381.59447</v>
      </c>
      <c r="I15" s="205">
        <f>I7</f>
        <v>238</v>
      </c>
      <c r="J15" s="205">
        <f>J7</f>
        <v>114.60337384649442</v>
      </c>
      <c r="K15" s="205">
        <f>K7</f>
        <v>338.18434852817825</v>
      </c>
      <c r="L15" s="179">
        <v>0</v>
      </c>
      <c r="M15" s="179">
        <f>L15</f>
        <v>0</v>
      </c>
      <c r="N15" s="198">
        <f t="shared" si="1"/>
        <v>4.911478838826091</v>
      </c>
      <c r="O15" s="198">
        <f t="shared" si="2"/>
        <v>281.33136552208225</v>
      </c>
      <c r="P15" s="207">
        <f>SUMIFS(Forecasts!$F$5:$F$34,Forecasts!$B$5:$B$34,$B$6,Forecasts!$E$5:$E$34,$C15,Forecasts!$C$5:$C$34,$D15)/1000</f>
        <v>4031.1590000000001</v>
      </c>
      <c r="Q15" s="166">
        <f t="shared" si="0"/>
        <v>540.44705634147977</v>
      </c>
      <c r="R15" s="166">
        <f t="shared" si="3"/>
        <v>3490.7119436585203</v>
      </c>
      <c r="S15" s="165">
        <f t="shared" si="4"/>
        <v>2654.39428072703</v>
      </c>
      <c r="T15" s="166">
        <f t="shared" si="5"/>
        <v>982046.75775369338</v>
      </c>
      <c r="U15" s="167">
        <f>Overview!G21</f>
        <v>0</v>
      </c>
      <c r="V15" s="174"/>
      <c r="W15" s="137"/>
      <c r="X15" s="137"/>
      <c r="Y15" s="137"/>
    </row>
    <row r="16" spans="1:25" x14ac:dyDescent="0.25">
      <c r="A16" s="127"/>
      <c r="B16" s="127"/>
      <c r="C16" s="160" t="s">
        <v>209</v>
      </c>
      <c r="D16" s="160"/>
      <c r="E16" s="208">
        <f>SUMIFS(Forecasts!$F$5:$F$34,Forecasts!$D$5:$D$34,CAA!E$4,Forecasts!$C$5:$C$34,CAA!E$5)/1000</f>
        <v>11814.771269999999</v>
      </c>
      <c r="F16" s="208">
        <f>SUMIFS(Forecasts!$F$5:$F$34,Forecasts!$D$5:$D$34,CAA!F$4,Forecasts!$C$5:$C$34,CAA!F$5)/1000</f>
        <v>15925.86537</v>
      </c>
      <c r="G16" s="208">
        <f>SUMIFS(Forecasts!$F$5:$F$34,Forecasts!$D$5:$D$34,CAA!G$4,Forecasts!$C$5:$C$34,CAA!G$5)/1000</f>
        <v>6468.5137799999993</v>
      </c>
      <c r="H16" s="208">
        <f>SUMIFS(Forecasts!$F$5:$F$34,Forecasts!$D$5:$D$34,CAA!H$4,Forecasts!$C$5:$C$34,CAA!H$5)/1000</f>
        <v>48558.893100000008</v>
      </c>
      <c r="I16" s="208">
        <f>SUMIFS(Forecasts!$F$5:$F$34,Forecasts!$D$5:$D$34,CAA!I$4,Forecasts!$C$5:$C$34,CAA!I$5)/1000</f>
        <v>3382.4236799999999</v>
      </c>
      <c r="J16" s="208">
        <f>SUMIFS(Forecasts!$F$5:$F$34,Forecasts!$D$5:$D$34,CAA!J$4,Forecasts!$C$5:$C$34,CAA!J$5)/1000*(1-K24)</f>
        <v>8700.2180000000008</v>
      </c>
      <c r="K16" s="208">
        <f>SUMIFS(Forecasts!$F$5:$F$34,Forecasts!$D$5:$D$34,CAA!K$4,Forecasts!$C$5:$C$34,CAA!K$5)/1000</f>
        <v>471.87099999999998</v>
      </c>
      <c r="L16" s="208">
        <f>SUMIFS(Forecasts!$F$5:$F$34,Forecasts!$D$5:$D$34,CAA!L$4,Forecasts!$C$5:$C$34,CAA!L$5)/1000</f>
        <v>25004.944456849313</v>
      </c>
      <c r="M16" s="208">
        <f>SUMIFS(Forecasts!$F$5:$F$34,Forecasts!$D$5:$D$34,CAA!M$4,Forecasts!$C$5:$C$34,CAA!M$5)/1000</f>
        <v>7014.2920000000004</v>
      </c>
      <c r="N16" s="127"/>
      <c r="O16" s="151"/>
      <c r="P16" s="203"/>
      <c r="Q16" s="534"/>
      <c r="R16" s="535"/>
      <c r="S16" s="151"/>
      <c r="T16" s="151"/>
      <c r="V16" s="127"/>
      <c r="W16" s="137"/>
      <c r="X16" s="137"/>
      <c r="Y16" s="137"/>
    </row>
    <row r="17" spans="1:27" x14ac:dyDescent="0.25">
      <c r="A17" s="127"/>
      <c r="B17" s="127"/>
      <c r="C17" s="160" t="s">
        <v>203</v>
      </c>
      <c r="D17" s="160"/>
      <c r="E17" s="148">
        <f>(SUMPRODUCT(E6:E15,$P6:$P15))/SUMPRODUCT($P6:$P15)</f>
        <v>71.51385677444766</v>
      </c>
      <c r="F17" s="148">
        <f t="shared" ref="F17:M17" si="8">(SUMPRODUCT(F6:F15,$P6:$P15))/SUMPRODUCT($P6:$P15)</f>
        <v>236.81666413552057</v>
      </c>
      <c r="G17" s="148">
        <f t="shared" si="8"/>
        <v>236.81666413552057</v>
      </c>
      <c r="H17" s="148">
        <f t="shared" si="8"/>
        <v>424.78274481193745</v>
      </c>
      <c r="I17" s="148">
        <f t="shared" si="8"/>
        <v>282.84631571367322</v>
      </c>
      <c r="J17" s="148">
        <f t="shared" si="8"/>
        <v>140.89476277678909</v>
      </c>
      <c r="K17" s="148">
        <f t="shared" si="8"/>
        <v>381.79376949949392</v>
      </c>
      <c r="L17" s="148">
        <f t="shared" si="8"/>
        <v>76.653076664322654</v>
      </c>
      <c r="M17" s="148">
        <f t="shared" si="8"/>
        <v>76.653076664322654</v>
      </c>
      <c r="N17" s="127"/>
      <c r="O17" s="201"/>
      <c r="P17" s="170"/>
      <c r="Q17" s="139"/>
      <c r="R17" s="164"/>
      <c r="S17" s="127"/>
      <c r="T17" s="127"/>
      <c r="U17" s="138"/>
      <c r="V17" s="127"/>
      <c r="W17" s="137"/>
      <c r="X17" s="137"/>
      <c r="Y17" s="137"/>
    </row>
    <row r="18" spans="1:27" x14ac:dyDescent="0.25">
      <c r="A18" s="127"/>
      <c r="B18" s="127"/>
      <c r="C18" s="658" t="s">
        <v>228</v>
      </c>
      <c r="D18" s="659"/>
      <c r="E18" s="148">
        <f>E16*E17</f>
        <v>844919.86042563908</v>
      </c>
      <c r="F18" s="148">
        <f t="shared" ref="F18:M18" si="9">F16*F17</f>
        <v>3771510.3103948077</v>
      </c>
      <c r="G18" s="148">
        <f t="shared" si="9"/>
        <v>1531851.8552942465</v>
      </c>
      <c r="H18" s="148">
        <f t="shared" si="9"/>
        <v>20626979.896047454</v>
      </c>
      <c r="I18" s="148">
        <f t="shared" si="9"/>
        <v>956706.07607068436</v>
      </c>
      <c r="J18" s="148">
        <f t="shared" si="9"/>
        <v>1225815.1512163505</v>
      </c>
      <c r="K18" s="148">
        <f t="shared" si="9"/>
        <v>180157.40780749568</v>
      </c>
      <c r="L18" s="148">
        <f t="shared" si="9"/>
        <v>1916705.9244380002</v>
      </c>
      <c r="M18" s="148">
        <f t="shared" si="9"/>
        <v>537667.06242194516</v>
      </c>
      <c r="N18" s="127"/>
      <c r="O18" s="127"/>
      <c r="P18" s="127"/>
      <c r="Q18" s="140"/>
      <c r="R18" s="140"/>
      <c r="S18" s="127"/>
      <c r="T18" s="127"/>
      <c r="U18" s="140"/>
      <c r="V18" s="140"/>
      <c r="W18" s="137"/>
      <c r="X18" s="137"/>
      <c r="Y18" s="137"/>
    </row>
    <row r="19" spans="1:27" x14ac:dyDescent="0.25">
      <c r="A19" s="127"/>
      <c r="B19" s="127"/>
      <c r="C19" s="160" t="s">
        <v>227</v>
      </c>
      <c r="D19" s="161"/>
      <c r="E19" s="167">
        <f>Overview!G15</f>
        <v>1.2355788651288975</v>
      </c>
      <c r="F19" s="167">
        <f>Overview!G16</f>
        <v>3.32489101812113</v>
      </c>
      <c r="G19" s="167">
        <f>Overview!G26</f>
        <v>2.9924019163090172</v>
      </c>
      <c r="H19" s="167">
        <f>Overview!G48</f>
        <v>5.093</v>
      </c>
      <c r="I19" s="167">
        <f>Overview!G17</f>
        <v>2.2284547388931903</v>
      </c>
      <c r="J19" s="167">
        <f>Overview!G29</f>
        <v>0.4412781661174634</v>
      </c>
      <c r="K19" s="167">
        <f>Overview!G50</f>
        <v>4.620000000000001</v>
      </c>
      <c r="L19" s="167">
        <f>Overview!G20</f>
        <v>0.53228218552289408</v>
      </c>
      <c r="M19" s="167">
        <f>Overview!G24</f>
        <v>0.47905396697060471</v>
      </c>
      <c r="N19" s="127"/>
      <c r="O19" s="127"/>
      <c r="P19" s="127"/>
      <c r="Q19" s="170"/>
      <c r="R19" s="127"/>
      <c r="S19" s="127"/>
      <c r="T19" s="127"/>
      <c r="U19" s="127"/>
      <c r="V19" s="127"/>
      <c r="W19" s="137"/>
      <c r="X19" s="137"/>
      <c r="Y19" s="137"/>
    </row>
    <row r="20" spans="1:27" x14ac:dyDescent="0.25">
      <c r="A20" s="127"/>
      <c r="B20" s="127"/>
      <c r="C20" s="171"/>
      <c r="D20" s="171"/>
      <c r="E20" s="196"/>
      <c r="F20" s="174"/>
      <c r="G20" s="196"/>
      <c r="H20" s="174"/>
      <c r="I20" s="174"/>
      <c r="J20" s="174"/>
      <c r="K20" s="174"/>
      <c r="L20" s="197"/>
      <c r="M20" s="174"/>
      <c r="N20" s="174"/>
      <c r="O20" s="127"/>
      <c r="P20" s="127"/>
      <c r="Q20" s="127"/>
      <c r="R20" s="127"/>
      <c r="S20" s="127"/>
      <c r="T20" s="170"/>
      <c r="U20" s="127"/>
      <c r="V20" s="127"/>
      <c r="W20" s="127"/>
      <c r="X20" s="137"/>
      <c r="Y20" s="137"/>
      <c r="Z20" s="137"/>
    </row>
    <row r="21" spans="1:27" ht="15" customHeight="1" x14ac:dyDescent="0.25">
      <c r="A21" s="127"/>
      <c r="B21" s="127"/>
      <c r="C21" s="171"/>
      <c r="D21" s="171"/>
      <c r="E21" s="172"/>
      <c r="F21" s="172"/>
      <c r="G21" s="172"/>
      <c r="H21" s="172"/>
      <c r="I21" s="172"/>
      <c r="J21" s="172"/>
      <c r="K21" s="172"/>
      <c r="L21" s="172"/>
      <c r="M21" s="172"/>
      <c r="N21" s="172"/>
      <c r="O21" s="127"/>
      <c r="P21" s="127"/>
      <c r="Q21" s="127"/>
      <c r="R21" s="127"/>
      <c r="S21" s="127"/>
      <c r="T21" s="127"/>
      <c r="U21" s="127"/>
      <c r="V21" s="127"/>
      <c r="W21" s="127"/>
      <c r="X21" s="137"/>
      <c r="Y21" s="137"/>
      <c r="Z21" s="137"/>
    </row>
    <row r="22" spans="1:27" x14ac:dyDescent="0.25">
      <c r="A22" s="127"/>
      <c r="B22" s="127"/>
      <c r="C22" s="152"/>
      <c r="D22" s="152"/>
      <c r="E22" s="152"/>
      <c r="F22" s="127"/>
      <c r="G22" s="127"/>
      <c r="H22" s="127"/>
      <c r="I22" s="142"/>
      <c r="J22" s="142"/>
      <c r="K22" s="142"/>
      <c r="L22" s="142"/>
      <c r="M22" s="142"/>
      <c r="N22" s="142"/>
      <c r="O22" s="127"/>
      <c r="P22" s="127"/>
      <c r="Q22" s="127"/>
      <c r="R22" s="127"/>
      <c r="S22" s="127"/>
      <c r="T22" s="127"/>
      <c r="U22" s="127"/>
      <c r="V22" s="127"/>
      <c r="W22" s="127"/>
      <c r="X22" s="137"/>
      <c r="Y22" s="137"/>
      <c r="Z22" s="137"/>
    </row>
    <row r="23" spans="1:27" ht="60.95" customHeight="1" x14ac:dyDescent="0.25">
      <c r="A23" s="127"/>
      <c r="B23" s="127"/>
      <c r="C23" s="153"/>
      <c r="D23" s="204"/>
      <c r="E23" s="154" t="s">
        <v>197</v>
      </c>
      <c r="F23" s="155">
        <f>SUMPRODUCT(U6:U15,Q6:Q15)</f>
        <v>12042.145040382193</v>
      </c>
      <c r="G23" s="133"/>
      <c r="H23" s="127"/>
      <c r="I23" s="127"/>
      <c r="J23" s="127"/>
      <c r="K23" s="127"/>
      <c r="L23" s="127"/>
      <c r="M23" s="127"/>
      <c r="N23" s="127"/>
      <c r="O23" s="127"/>
      <c r="P23" s="127"/>
      <c r="Q23" s="127"/>
      <c r="R23" s="177"/>
      <c r="S23" s="178"/>
      <c r="T23" s="127"/>
      <c r="U23" s="127"/>
      <c r="V23" s="127"/>
      <c r="W23" s="127"/>
      <c r="X23" s="137"/>
      <c r="Y23" s="137"/>
      <c r="Z23" s="137"/>
    </row>
    <row r="24" spans="1:27" x14ac:dyDescent="0.25">
      <c r="A24" s="127"/>
      <c r="B24" s="127"/>
      <c r="C24" s="153"/>
      <c r="D24" s="204"/>
      <c r="E24" s="154" t="s">
        <v>198</v>
      </c>
      <c r="F24" s="157">
        <f>SUMPRODUCT(U6:U15,R6:R15)</f>
        <v>77779.421733347801</v>
      </c>
      <c r="G24" s="133"/>
      <c r="H24" s="142"/>
      <c r="I24" s="127"/>
      <c r="J24" s="151"/>
      <c r="K24" s="127"/>
      <c r="L24" s="127"/>
      <c r="M24" s="127"/>
      <c r="N24" s="127"/>
      <c r="O24" s="141"/>
      <c r="P24" s="141"/>
      <c r="Q24" s="169"/>
      <c r="R24" s="177"/>
      <c r="S24" s="127"/>
      <c r="T24" s="169"/>
      <c r="U24" s="169"/>
      <c r="V24" s="127"/>
      <c r="W24" s="127"/>
      <c r="X24" s="137"/>
      <c r="Y24" s="137"/>
      <c r="Z24" s="137"/>
    </row>
    <row r="25" spans="1:27" x14ac:dyDescent="0.25">
      <c r="A25" s="127"/>
      <c r="B25" s="127"/>
      <c r="C25" s="153"/>
      <c r="D25" s="204"/>
      <c r="E25" s="154" t="s">
        <v>181</v>
      </c>
      <c r="F25" s="155">
        <f>SUMPRODUCT(E16:M16*E19:M19*(E3:M3="Intra"))</f>
        <v>18849.954912460504</v>
      </c>
      <c r="G25" s="142"/>
      <c r="I25" s="127"/>
      <c r="J25" s="127"/>
      <c r="K25" s="127"/>
      <c r="L25" s="127"/>
      <c r="M25" s="127"/>
      <c r="N25" s="127"/>
      <c r="O25" s="127"/>
      <c r="P25" s="127"/>
      <c r="Q25" s="169"/>
      <c r="R25" s="127"/>
      <c r="S25" s="127"/>
      <c r="T25" s="169"/>
      <c r="U25" s="175"/>
      <c r="V25" s="127"/>
      <c r="W25" s="127"/>
      <c r="X25" s="137"/>
      <c r="Y25" s="137"/>
      <c r="Z25" s="137"/>
    </row>
    <row r="26" spans="1:27" x14ac:dyDescent="0.25">
      <c r="A26" s="127"/>
      <c r="B26" s="127"/>
      <c r="C26" s="214"/>
      <c r="D26" s="215"/>
      <c r="E26" s="216" t="s">
        <v>182</v>
      </c>
      <c r="F26" s="155">
        <f>SUMPRODUCT(E16:M16*E19:M19*(E3:M3="Cross"))</f>
        <v>345593.47831380949</v>
      </c>
      <c r="G26" s="142"/>
      <c r="H26" s="142"/>
      <c r="I26" s="127"/>
      <c r="J26" s="127"/>
      <c r="K26" s="127"/>
      <c r="L26" s="127"/>
      <c r="M26" s="127"/>
      <c r="N26" s="127"/>
      <c r="O26" s="127"/>
      <c r="P26" s="127"/>
      <c r="Q26" s="127"/>
      <c r="R26" s="127"/>
      <c r="S26" s="127"/>
      <c r="T26" s="127"/>
      <c r="U26" s="127"/>
      <c r="V26" s="127"/>
      <c r="W26" s="127"/>
      <c r="X26" s="137"/>
      <c r="Y26" s="137"/>
      <c r="Z26" s="137"/>
    </row>
    <row r="27" spans="1:27" x14ac:dyDescent="0.25">
      <c r="A27" s="127"/>
      <c r="B27" s="127"/>
      <c r="C27" s="220"/>
      <c r="D27" s="221"/>
      <c r="E27" s="222" t="s">
        <v>183</v>
      </c>
      <c r="F27" s="217">
        <f>F23+F25</f>
        <v>30892.099952842698</v>
      </c>
      <c r="G27" s="477"/>
      <c r="H27" s="127"/>
      <c r="I27" s="142"/>
      <c r="J27" s="127"/>
      <c r="K27" s="127"/>
      <c r="L27" s="127"/>
      <c r="M27" s="127"/>
      <c r="N27" s="127"/>
      <c r="O27" s="127"/>
      <c r="P27" s="127"/>
      <c r="R27" s="127"/>
      <c r="S27" s="127"/>
      <c r="T27" s="127"/>
      <c r="U27" s="127"/>
      <c r="V27" s="127"/>
      <c r="W27" s="127"/>
      <c r="X27" s="137"/>
      <c r="Y27" s="137"/>
      <c r="Z27" s="137"/>
    </row>
    <row r="28" spans="1:27" x14ac:dyDescent="0.25">
      <c r="A28" s="127"/>
      <c r="B28" s="127"/>
      <c r="C28" s="218"/>
      <c r="D28" s="219"/>
      <c r="E28" s="163" t="s">
        <v>184</v>
      </c>
      <c r="F28" s="217">
        <f>F24+F26</f>
        <v>423372.90004715731</v>
      </c>
      <c r="G28" s="476"/>
      <c r="H28" s="127"/>
      <c r="I28" s="380"/>
      <c r="J28" s="127"/>
      <c r="K28" s="127"/>
      <c r="L28" s="127"/>
      <c r="M28" s="127"/>
      <c r="N28" s="127"/>
      <c r="O28" s="127"/>
      <c r="P28" s="127"/>
      <c r="Q28" s="127"/>
      <c r="R28" s="127"/>
      <c r="S28" s="127"/>
      <c r="T28" s="127"/>
      <c r="U28" s="127"/>
      <c r="V28" s="127"/>
      <c r="W28" s="127"/>
      <c r="X28" s="137"/>
      <c r="Y28" s="137"/>
      <c r="Z28" s="137"/>
      <c r="AA28" s="137"/>
    </row>
    <row r="29" spans="1:27" x14ac:dyDescent="0.25">
      <c r="A29" s="127"/>
      <c r="B29" s="127"/>
      <c r="C29" s="151"/>
      <c r="D29" s="151"/>
      <c r="E29" s="151"/>
      <c r="F29" s="143"/>
      <c r="G29" s="143"/>
      <c r="H29" s="127"/>
      <c r="I29" s="127"/>
      <c r="J29" s="127"/>
      <c r="K29" s="127"/>
      <c r="L29" s="127"/>
      <c r="M29" s="127"/>
      <c r="N29" s="127"/>
      <c r="O29" s="127"/>
      <c r="P29" s="127"/>
      <c r="Q29" s="127"/>
      <c r="R29" s="127"/>
      <c r="S29" s="127"/>
      <c r="T29" s="127"/>
      <c r="U29" s="127"/>
      <c r="V29" s="127"/>
      <c r="W29" s="127"/>
      <c r="X29" s="137"/>
      <c r="Y29" s="137"/>
      <c r="Z29" s="137"/>
      <c r="AA29" s="137"/>
    </row>
    <row r="30" spans="1:27" x14ac:dyDescent="0.25">
      <c r="A30" s="127"/>
      <c r="B30" s="127"/>
      <c r="C30" s="214"/>
      <c r="D30" s="215"/>
      <c r="E30" s="216" t="s">
        <v>185</v>
      </c>
      <c r="F30" s="213">
        <f>SUM(S6:S15)</f>
        <v>1190743.7625528905</v>
      </c>
      <c r="G30" s="143"/>
      <c r="H30" s="127"/>
      <c r="I30" s="127"/>
      <c r="J30" s="127"/>
      <c r="K30" s="145"/>
      <c r="L30" s="149" t="s">
        <v>195</v>
      </c>
      <c r="M30" s="127"/>
      <c r="N30" s="127"/>
      <c r="O30" s="127"/>
      <c r="P30" s="127"/>
      <c r="Q30" s="127"/>
      <c r="R30" s="127"/>
      <c r="S30" s="127"/>
      <c r="T30" s="127"/>
      <c r="U30" s="127"/>
      <c r="V30" s="127"/>
      <c r="W30" s="127"/>
      <c r="X30" s="137"/>
      <c r="Y30" s="137"/>
      <c r="Z30" s="137"/>
    </row>
    <row r="31" spans="1:27" ht="15" customHeight="1" x14ac:dyDescent="0.25">
      <c r="A31" s="127"/>
      <c r="B31" s="141"/>
      <c r="C31" s="153"/>
      <c r="D31" s="204"/>
      <c r="E31" s="154" t="s">
        <v>186</v>
      </c>
      <c r="F31" s="223">
        <f>SUM(K18:M18)</f>
        <v>2634530.394667441</v>
      </c>
      <c r="G31" s="143"/>
      <c r="H31" s="127"/>
      <c r="I31" s="127"/>
      <c r="J31" s="127"/>
      <c r="K31" s="158" t="s">
        <v>188</v>
      </c>
      <c r="L31" s="566">
        <f>F27/F32*1000</f>
        <v>8.0757871679688211</v>
      </c>
      <c r="M31" s="126" t="s">
        <v>205</v>
      </c>
      <c r="N31" s="127"/>
      <c r="O31" s="127"/>
      <c r="P31" s="127"/>
      <c r="Q31" s="127"/>
      <c r="R31" s="127"/>
      <c r="S31" s="127"/>
      <c r="T31" s="127"/>
      <c r="U31" s="127"/>
      <c r="V31" s="127"/>
      <c r="W31" s="127"/>
      <c r="X31" s="137"/>
      <c r="Y31" s="137"/>
      <c r="Z31" s="137"/>
    </row>
    <row r="32" spans="1:27" x14ac:dyDescent="0.25">
      <c r="A32" s="127"/>
      <c r="B32" s="141"/>
      <c r="C32" s="656" t="s">
        <v>187</v>
      </c>
      <c r="D32" s="656"/>
      <c r="E32" s="656"/>
      <c r="F32" s="156">
        <f>F30+F31</f>
        <v>3825274.1572203315</v>
      </c>
      <c r="G32" s="143"/>
      <c r="H32" s="127"/>
      <c r="I32" s="127"/>
      <c r="J32" s="127"/>
      <c r="K32" s="158" t="s">
        <v>190</v>
      </c>
      <c r="L32" s="566">
        <f>F28/F35*1000</f>
        <v>7.3101745714124267</v>
      </c>
      <c r="M32" s="126" t="s">
        <v>205</v>
      </c>
      <c r="N32" s="127"/>
      <c r="O32" s="127"/>
      <c r="P32" s="127"/>
      <c r="Q32" s="127"/>
      <c r="R32" s="127"/>
      <c r="S32" s="127"/>
      <c r="T32" s="127"/>
      <c r="U32" s="127"/>
      <c r="V32" s="127"/>
      <c r="W32" s="127"/>
      <c r="X32" s="137"/>
      <c r="Y32" s="137"/>
      <c r="Z32" s="137"/>
    </row>
    <row r="33" spans="1:26" x14ac:dyDescent="0.25">
      <c r="A33" s="127"/>
      <c r="B33" s="141"/>
      <c r="C33" s="657" t="s">
        <v>189</v>
      </c>
      <c r="D33" s="657"/>
      <c r="E33" s="657"/>
      <c r="F33" s="157">
        <f>SUM(T6:T15)</f>
        <v>28957783.149449181</v>
      </c>
      <c r="G33" s="143"/>
      <c r="H33" s="127"/>
      <c r="I33" s="127"/>
      <c r="J33" s="127"/>
      <c r="K33" s="158" t="s">
        <v>206</v>
      </c>
      <c r="L33" s="146">
        <f>2*(ABS(L31-L32))/(L31+L32)</f>
        <v>9.952092817139474E-2</v>
      </c>
      <c r="M33" s="127"/>
      <c r="N33" s="127"/>
      <c r="O33" s="127"/>
      <c r="P33" s="127"/>
      <c r="Q33" s="127"/>
      <c r="R33" s="127"/>
      <c r="S33" s="127"/>
      <c r="T33" s="127"/>
      <c r="U33" s="127"/>
      <c r="V33" s="127"/>
      <c r="W33" s="127"/>
      <c r="X33" s="137"/>
      <c r="Y33" s="137"/>
      <c r="Z33" s="137"/>
    </row>
    <row r="34" spans="1:26" x14ac:dyDescent="0.25">
      <c r="A34" s="127"/>
      <c r="B34" s="141"/>
      <c r="C34" s="657" t="s">
        <v>191</v>
      </c>
      <c r="D34" s="657"/>
      <c r="E34" s="657"/>
      <c r="F34" s="157">
        <f>SUM(E18:J18)</f>
        <v>28957783.149449181</v>
      </c>
      <c r="G34" s="143"/>
      <c r="H34" s="127"/>
      <c r="I34" s="131"/>
      <c r="J34" s="131"/>
      <c r="K34" s="654" t="str">
        <f>IF(L33&lt;0.1,"justification not required","justification required!")</f>
        <v>justification not required</v>
      </c>
      <c r="L34" s="655"/>
      <c r="M34" s="127"/>
      <c r="N34" s="127"/>
      <c r="O34" s="127"/>
      <c r="P34" s="127"/>
      <c r="Q34" s="127"/>
      <c r="R34" s="127"/>
      <c r="S34" s="127"/>
      <c r="T34" s="127"/>
      <c r="U34" s="127"/>
      <c r="V34" s="127"/>
      <c r="W34" s="127"/>
      <c r="X34" s="137"/>
      <c r="Y34" s="137"/>
      <c r="Z34" s="137"/>
    </row>
    <row r="35" spans="1:26" x14ac:dyDescent="0.25">
      <c r="A35" s="127"/>
      <c r="B35" s="141"/>
      <c r="C35" s="651" t="s">
        <v>192</v>
      </c>
      <c r="D35" s="651"/>
      <c r="E35" s="651"/>
      <c r="F35" s="156">
        <f>F33+F34</f>
        <v>57915566.298898362</v>
      </c>
      <c r="G35" s="143"/>
      <c r="H35" s="127"/>
      <c r="I35" s="131"/>
      <c r="J35" s="131"/>
      <c r="K35" s="131"/>
      <c r="L35" s="131"/>
      <c r="M35" s="127"/>
      <c r="N35" s="127"/>
      <c r="O35" s="127"/>
      <c r="Q35" s="127"/>
      <c r="R35" s="127"/>
      <c r="S35" s="127"/>
      <c r="T35" s="127"/>
      <c r="U35" s="127"/>
      <c r="V35" s="127"/>
      <c r="W35" s="127"/>
      <c r="X35" s="137"/>
      <c r="Y35" s="137"/>
      <c r="Z35" s="137"/>
    </row>
    <row r="36" spans="1:26" x14ac:dyDescent="0.25">
      <c r="A36" s="127"/>
      <c r="B36" s="141"/>
      <c r="C36" s="127"/>
      <c r="D36" s="127"/>
      <c r="E36" s="127"/>
      <c r="F36" s="127"/>
      <c r="G36" s="127"/>
      <c r="H36" s="143"/>
      <c r="I36" s="131"/>
      <c r="J36" s="131"/>
      <c r="K36" s="132"/>
      <c r="L36" s="132"/>
      <c r="M36" s="127"/>
      <c r="N36" s="127"/>
      <c r="O36" s="127"/>
      <c r="P36" s="127"/>
      <c r="Q36" s="127"/>
      <c r="R36" s="127"/>
      <c r="S36" s="127"/>
      <c r="T36" s="127"/>
      <c r="U36" s="127"/>
      <c r="V36" s="127"/>
      <c r="W36" s="127"/>
      <c r="X36" s="137"/>
      <c r="Y36" s="137"/>
      <c r="Z36" s="137"/>
    </row>
    <row r="37" spans="1:26" x14ac:dyDescent="0.25">
      <c r="A37" s="131"/>
      <c r="B37" s="131"/>
      <c r="C37" s="131"/>
      <c r="D37" s="131"/>
      <c r="E37" s="131"/>
      <c r="F37" s="131"/>
      <c r="G37" s="131"/>
      <c r="H37" s="131"/>
      <c r="I37" s="131"/>
      <c r="J37" s="131"/>
      <c r="K37" s="131"/>
      <c r="L37" s="131"/>
      <c r="M37" s="127"/>
      <c r="N37" s="127"/>
      <c r="O37" s="127"/>
      <c r="P37" s="127"/>
      <c r="Q37" s="127"/>
      <c r="R37" s="127"/>
      <c r="S37" s="127"/>
      <c r="T37" s="127"/>
      <c r="U37" s="127"/>
      <c r="V37" s="127"/>
      <c r="W37" s="127"/>
      <c r="X37" s="137"/>
      <c r="Y37" s="137"/>
      <c r="Z37" s="137"/>
    </row>
    <row r="38" spans="1:26" x14ac:dyDescent="0.25">
      <c r="A38" s="131"/>
      <c r="B38" s="131"/>
      <c r="C38" s="131"/>
      <c r="D38" s="131"/>
      <c r="E38" s="131"/>
      <c r="F38" s="131"/>
      <c r="G38" s="131"/>
      <c r="H38" s="131"/>
      <c r="I38" s="131"/>
      <c r="J38" s="131"/>
      <c r="K38" s="131"/>
      <c r="L38" s="131"/>
      <c r="M38" s="131"/>
      <c r="N38" s="131"/>
      <c r="O38" s="131"/>
      <c r="P38" s="131"/>
      <c r="Q38" s="144"/>
      <c r="R38" s="144"/>
      <c r="S38" s="144"/>
      <c r="T38" s="131"/>
      <c r="U38" s="131"/>
      <c r="V38" s="144"/>
      <c r="W38" s="144"/>
      <c r="X38" s="137"/>
      <c r="Y38" s="137"/>
      <c r="Z38" s="137"/>
    </row>
    <row r="39" spans="1:26" x14ac:dyDescent="0.25">
      <c r="A39" s="131"/>
      <c r="B39" s="131"/>
      <c r="C39" s="131"/>
      <c r="D39" s="131"/>
      <c r="E39" s="131"/>
      <c r="F39" s="131"/>
      <c r="G39" s="131"/>
      <c r="H39" s="131"/>
      <c r="I39" s="131"/>
      <c r="J39" s="131"/>
      <c r="K39" s="127"/>
      <c r="L39" s="127"/>
      <c r="M39" s="131"/>
      <c r="N39" s="131"/>
      <c r="O39" s="131"/>
      <c r="P39" s="131"/>
      <c r="Q39" s="131"/>
      <c r="R39" s="131"/>
      <c r="S39" s="131"/>
      <c r="T39" s="131"/>
      <c r="U39" s="131"/>
      <c r="V39" s="131"/>
      <c r="W39" s="131"/>
      <c r="X39" s="137"/>
      <c r="Y39" s="137"/>
      <c r="Z39" s="137"/>
    </row>
    <row r="40" spans="1:26" x14ac:dyDescent="0.25">
      <c r="A40" s="131"/>
      <c r="B40" s="131"/>
      <c r="C40" s="131"/>
      <c r="D40" s="131"/>
      <c r="E40" s="131"/>
      <c r="F40" s="131"/>
      <c r="G40" s="131"/>
      <c r="H40" s="131"/>
      <c r="I40" s="131"/>
      <c r="J40" s="131"/>
      <c r="K40" s="127"/>
      <c r="L40" s="127"/>
      <c r="M40" s="132"/>
      <c r="N40" s="132"/>
      <c r="O40" s="132"/>
      <c r="P40" s="132"/>
      <c r="Q40" s="132"/>
      <c r="R40" s="132"/>
      <c r="S40" s="132"/>
      <c r="T40" s="132"/>
      <c r="U40" s="132"/>
      <c r="V40" s="132"/>
      <c r="W40" s="132"/>
      <c r="X40" s="137"/>
      <c r="Y40" s="137"/>
      <c r="Z40" s="137"/>
    </row>
    <row r="41" spans="1:26" x14ac:dyDescent="0.25">
      <c r="A41" s="131"/>
      <c r="B41" s="131"/>
      <c r="C41" s="131"/>
      <c r="D41" s="131"/>
      <c r="E41" s="131"/>
      <c r="F41" s="131"/>
      <c r="G41" s="131"/>
      <c r="H41" s="131"/>
      <c r="I41" s="131"/>
      <c r="J41" s="131"/>
      <c r="K41" s="127"/>
      <c r="L41" s="127"/>
      <c r="M41" s="131"/>
      <c r="N41" s="131"/>
      <c r="O41" s="131"/>
      <c r="P41" s="131"/>
      <c r="Q41" s="131"/>
      <c r="R41" s="131"/>
      <c r="S41" s="131"/>
      <c r="T41" s="131"/>
      <c r="U41" s="131"/>
      <c r="V41" s="131"/>
      <c r="W41" s="131"/>
      <c r="X41" s="137"/>
      <c r="Y41" s="137"/>
      <c r="Z41" s="137"/>
    </row>
    <row r="42" spans="1:26" x14ac:dyDescent="0.25">
      <c r="A42" s="131"/>
      <c r="B42" s="131"/>
      <c r="C42" s="131"/>
      <c r="D42" s="131"/>
      <c r="E42" s="131"/>
      <c r="F42" s="131"/>
      <c r="G42" s="131"/>
      <c r="H42" s="131"/>
      <c r="I42" s="131"/>
      <c r="J42" s="131"/>
      <c r="K42" s="127"/>
      <c r="L42" s="127"/>
      <c r="M42" s="131"/>
      <c r="N42" s="131"/>
      <c r="O42" s="131"/>
      <c r="P42" s="131"/>
      <c r="Q42" s="131"/>
      <c r="R42" s="131"/>
      <c r="S42" s="131"/>
      <c r="T42" s="131"/>
      <c r="U42" s="131"/>
      <c r="V42" s="131"/>
      <c r="W42" s="131"/>
      <c r="X42" s="137"/>
      <c r="Y42" s="137"/>
      <c r="Z42" s="137"/>
    </row>
    <row r="43" spans="1:26" x14ac:dyDescent="0.25">
      <c r="A43" s="131"/>
      <c r="B43" s="131"/>
      <c r="C43" s="131"/>
      <c r="D43" s="131"/>
      <c r="E43" s="131"/>
      <c r="F43" s="131"/>
      <c r="G43" s="131"/>
      <c r="H43" s="131"/>
      <c r="I43" s="131"/>
      <c r="J43" s="131"/>
      <c r="K43" s="127"/>
      <c r="L43" s="127"/>
      <c r="M43" s="127"/>
      <c r="N43" s="127"/>
      <c r="O43" s="127"/>
      <c r="P43" s="127"/>
      <c r="Q43" s="127"/>
      <c r="R43" s="127"/>
      <c r="S43" s="127"/>
      <c r="T43" s="127"/>
      <c r="U43" s="127"/>
      <c r="V43" s="127"/>
      <c r="W43" s="127"/>
      <c r="X43" s="137"/>
      <c r="Y43" s="137"/>
      <c r="Z43" s="137"/>
    </row>
  </sheetData>
  <mergeCells count="9">
    <mergeCell ref="C4:D5"/>
    <mergeCell ref="E2:M2"/>
    <mergeCell ref="C35:E35"/>
    <mergeCell ref="B6:B15"/>
    <mergeCell ref="K34:L34"/>
    <mergeCell ref="C32:E32"/>
    <mergeCell ref="C33:E33"/>
    <mergeCell ref="C34:E34"/>
    <mergeCell ref="C18:D18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Tabelle8">
    <tabColor rgb="FF00486A"/>
  </sheetPr>
  <dimension ref="A1"/>
  <sheetViews>
    <sheetView workbookViewId="0">
      <selection activeCell="B36" sqref="B36"/>
    </sheetView>
  </sheetViews>
  <sheetFormatPr baseColWidth="10" defaultColWidth="11.42578125" defaultRowHeight="15" x14ac:dyDescent="0.25"/>
  <cols>
    <col min="1" max="16384" width="11.42578125" style="283"/>
  </cols>
  <sheetData/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Tabelle24">
    <tabColor theme="3" tint="0.79998168889431442"/>
  </sheetPr>
  <dimension ref="A1:J21"/>
  <sheetViews>
    <sheetView workbookViewId="0">
      <selection activeCell="B36" sqref="B36"/>
    </sheetView>
  </sheetViews>
  <sheetFormatPr baseColWidth="10" defaultColWidth="11.5703125" defaultRowHeight="15" x14ac:dyDescent="0.25"/>
  <cols>
    <col min="1" max="1" width="18.140625" style="283" customWidth="1"/>
    <col min="2" max="2" width="12" style="283" customWidth="1"/>
    <col min="3" max="4" width="11.5703125" style="283" customWidth="1"/>
    <col min="5" max="5" width="31.5703125" style="283" bestFit="1" customWidth="1"/>
    <col min="6" max="7" width="31.5703125" style="283" customWidth="1"/>
    <col min="8" max="8" width="32.85546875" style="283" bestFit="1" customWidth="1"/>
    <col min="9" max="9" width="26.5703125" style="283" bestFit="1" customWidth="1"/>
    <col min="10" max="10" width="33.5703125" style="283" bestFit="1" customWidth="1"/>
    <col min="11" max="16384" width="11.5703125" style="283"/>
  </cols>
  <sheetData>
    <row r="1" spans="1:10" ht="15.75" thickBot="1" x14ac:dyDescent="0.3"/>
    <row r="2" spans="1:10" ht="15.75" thickBot="1" x14ac:dyDescent="0.3">
      <c r="H2" s="298" t="s">
        <v>303</v>
      </c>
      <c r="I2" s="297">
        <f>I16-I6</f>
        <v>0.99420249039200659</v>
      </c>
    </row>
    <row r="3" spans="1:10" x14ac:dyDescent="0.25">
      <c r="A3" s="33" t="s">
        <v>302</v>
      </c>
    </row>
    <row r="5" spans="1:10" x14ac:dyDescent="0.25">
      <c r="A5" s="292" t="s">
        <v>82</v>
      </c>
      <c r="B5" s="292" t="s">
        <v>80</v>
      </c>
      <c r="C5" s="292" t="s">
        <v>296</v>
      </c>
      <c r="D5" s="292" t="s">
        <v>295</v>
      </c>
      <c r="E5" s="292" t="s">
        <v>294</v>
      </c>
      <c r="F5" s="292" t="s">
        <v>293</v>
      </c>
      <c r="G5" s="292" t="s">
        <v>292</v>
      </c>
      <c r="H5" s="292" t="s">
        <v>291</v>
      </c>
      <c r="I5" s="292" t="s">
        <v>290</v>
      </c>
      <c r="J5" s="292" t="s">
        <v>289</v>
      </c>
    </row>
    <row r="6" spans="1:10" x14ac:dyDescent="0.25">
      <c r="A6" s="53" t="s">
        <v>110</v>
      </c>
      <c r="B6" s="53" t="s">
        <v>83</v>
      </c>
      <c r="C6" s="53" t="s">
        <v>288</v>
      </c>
      <c r="D6" s="291"/>
      <c r="E6" s="291"/>
      <c r="F6" s="291"/>
      <c r="G6" s="291">
        <v>0.89600000000000013</v>
      </c>
      <c r="H6" s="291"/>
      <c r="I6" s="296">
        <f>I20-I7-I8</f>
        <v>2.3357975096079935</v>
      </c>
      <c r="J6" s="53" t="s">
        <v>301</v>
      </c>
    </row>
    <row r="7" spans="1:10" x14ac:dyDescent="0.25">
      <c r="A7" s="191" t="s">
        <v>110</v>
      </c>
      <c r="B7" s="191" t="s">
        <v>71</v>
      </c>
      <c r="C7" s="191" t="s">
        <v>300</v>
      </c>
      <c r="D7" s="288"/>
      <c r="E7" s="288"/>
      <c r="F7" s="288"/>
      <c r="G7" s="288">
        <f>'Tariffs FGSZ'!E28</f>
        <v>3.321998462720984</v>
      </c>
      <c r="H7" s="288"/>
      <c r="I7" s="288">
        <f>G7+D7*8760*H7</f>
        <v>3.321998462720984</v>
      </c>
      <c r="J7" s="191" t="s">
        <v>299</v>
      </c>
    </row>
    <row r="8" spans="1:10" x14ac:dyDescent="0.25">
      <c r="A8" s="191" t="s">
        <v>298</v>
      </c>
      <c r="B8" s="191" t="s">
        <v>83</v>
      </c>
      <c r="C8" s="191" t="s">
        <v>300</v>
      </c>
      <c r="D8" s="289">
        <v>0.86</v>
      </c>
      <c r="E8" s="288"/>
      <c r="F8" s="288"/>
      <c r="G8" s="288">
        <f>'Tariffs FGSZ'!E37</f>
        <v>1.5784473481936971</v>
      </c>
      <c r="H8" s="288">
        <f>'Tariffs FGSZ'!H37/1000</f>
        <v>1.425672559569562E-4</v>
      </c>
      <c r="I8" s="288">
        <f>G8+D8*8760*H8</f>
        <v>2.6524920276710224</v>
      </c>
      <c r="J8" s="191" t="s">
        <v>299</v>
      </c>
    </row>
    <row r="9" spans="1:10" x14ac:dyDescent="0.25">
      <c r="A9" s="53" t="s">
        <v>298</v>
      </c>
      <c r="B9" s="53" t="s">
        <v>71</v>
      </c>
      <c r="C9" s="53" t="s">
        <v>283</v>
      </c>
      <c r="D9" s="228"/>
      <c r="E9" s="660" t="s">
        <v>282</v>
      </c>
      <c r="F9" s="660"/>
      <c r="G9" s="660"/>
      <c r="H9" s="660"/>
      <c r="I9" s="661"/>
      <c r="J9" s="53" t="s">
        <v>281</v>
      </c>
    </row>
    <row r="10" spans="1:10" x14ac:dyDescent="0.25">
      <c r="E10" s="287"/>
      <c r="F10" s="287"/>
      <c r="G10" s="287"/>
      <c r="H10" s="286" t="s">
        <v>280</v>
      </c>
      <c r="I10" s="285">
        <f>SUM(I6:I9)</f>
        <v>8.3102879999999999</v>
      </c>
    </row>
    <row r="11" spans="1:10" x14ac:dyDescent="0.25">
      <c r="A11" s="283" t="s">
        <v>279</v>
      </c>
      <c r="E11" s="294"/>
      <c r="F11" s="294"/>
      <c r="G11" s="294"/>
      <c r="H11" s="294"/>
      <c r="I11" s="294"/>
    </row>
    <row r="12" spans="1:10" x14ac:dyDescent="0.25">
      <c r="E12" s="294"/>
      <c r="F12" s="294"/>
      <c r="G12" s="294"/>
      <c r="H12" s="295"/>
      <c r="I12" s="294"/>
    </row>
    <row r="13" spans="1:10" x14ac:dyDescent="0.25">
      <c r="A13" s="33" t="s">
        <v>297</v>
      </c>
      <c r="E13" s="294"/>
      <c r="F13" s="294"/>
      <c r="G13" s="294"/>
      <c r="H13" s="294"/>
      <c r="I13" s="294"/>
    </row>
    <row r="14" spans="1:10" x14ac:dyDescent="0.25">
      <c r="E14" s="294"/>
      <c r="F14" s="294"/>
      <c r="G14" s="294"/>
      <c r="H14" s="294"/>
      <c r="I14" s="294"/>
    </row>
    <row r="15" spans="1:10" x14ac:dyDescent="0.25">
      <c r="A15" s="292" t="s">
        <v>82</v>
      </c>
      <c r="B15" s="292" t="s">
        <v>80</v>
      </c>
      <c r="C15" s="292" t="s">
        <v>296</v>
      </c>
      <c r="D15" s="292" t="s">
        <v>295</v>
      </c>
      <c r="E15" s="293" t="s">
        <v>294</v>
      </c>
      <c r="F15" s="292" t="s">
        <v>293</v>
      </c>
      <c r="G15" s="292" t="s">
        <v>292</v>
      </c>
      <c r="H15" s="293" t="s">
        <v>291</v>
      </c>
      <c r="I15" s="293" t="s">
        <v>290</v>
      </c>
      <c r="J15" s="292" t="s">
        <v>289</v>
      </c>
    </row>
    <row r="16" spans="1:10" x14ac:dyDescent="0.25">
      <c r="A16" s="53" t="s">
        <v>87</v>
      </c>
      <c r="B16" s="53" t="s">
        <v>83</v>
      </c>
      <c r="C16" s="53" t="s">
        <v>288</v>
      </c>
      <c r="D16" s="228"/>
      <c r="E16" s="291"/>
      <c r="F16" s="291"/>
      <c r="G16" s="291"/>
      <c r="H16" s="291"/>
      <c r="I16" s="290">
        <f>VTPB!K35</f>
        <v>3.33</v>
      </c>
      <c r="J16" s="53" t="s">
        <v>95</v>
      </c>
    </row>
    <row r="17" spans="1:10" x14ac:dyDescent="0.25">
      <c r="A17" s="191" t="s">
        <v>287</v>
      </c>
      <c r="B17" s="191" t="s">
        <v>71</v>
      </c>
      <c r="C17" s="191" t="s">
        <v>286</v>
      </c>
      <c r="D17" s="289">
        <f>$D$8</f>
        <v>0.86</v>
      </c>
      <c r="E17" s="288"/>
      <c r="F17" s="288">
        <v>0.11711000000000001</v>
      </c>
      <c r="G17" s="288">
        <f>F17*24</f>
        <v>2.8106400000000002</v>
      </c>
      <c r="H17" s="288"/>
      <c r="I17" s="288">
        <f>G17+D17*8760*H17</f>
        <v>2.8106400000000002</v>
      </c>
      <c r="J17" s="191" t="s">
        <v>285</v>
      </c>
    </row>
    <row r="18" spans="1:10" x14ac:dyDescent="0.25">
      <c r="A18" s="191" t="s">
        <v>284</v>
      </c>
      <c r="B18" s="191" t="s">
        <v>83</v>
      </c>
      <c r="C18" s="191" t="s">
        <v>286</v>
      </c>
      <c r="D18" s="289">
        <f>$D$8</f>
        <v>0.86</v>
      </c>
      <c r="E18" s="288"/>
      <c r="F18" s="288">
        <v>6.5290000000000001E-2</v>
      </c>
      <c r="G18" s="288">
        <f>F18*24</f>
        <v>1.5669599999999999</v>
      </c>
      <c r="H18" s="288">
        <f>'CommCalc SI'!A5</f>
        <v>8.0000000000000007E-5</v>
      </c>
      <c r="I18" s="288">
        <f>G18+D18*8760*H18</f>
        <v>2.169648</v>
      </c>
      <c r="J18" s="191" t="s">
        <v>285</v>
      </c>
    </row>
    <row r="19" spans="1:10" x14ac:dyDescent="0.25">
      <c r="A19" s="53" t="s">
        <v>284</v>
      </c>
      <c r="B19" s="53" t="s">
        <v>71</v>
      </c>
      <c r="C19" s="53" t="s">
        <v>283</v>
      </c>
      <c r="D19" s="228"/>
      <c r="E19" s="660" t="s">
        <v>282</v>
      </c>
      <c r="F19" s="660"/>
      <c r="G19" s="660"/>
      <c r="H19" s="660"/>
      <c r="I19" s="661"/>
      <c r="J19" s="53" t="s">
        <v>281</v>
      </c>
    </row>
    <row r="20" spans="1:10" x14ac:dyDescent="0.25">
      <c r="E20" s="287"/>
      <c r="F20" s="287"/>
      <c r="G20" s="287"/>
      <c r="H20" s="286" t="s">
        <v>280</v>
      </c>
      <c r="I20" s="285">
        <f>SUM(I16:I19)</f>
        <v>8.3102879999999999</v>
      </c>
    </row>
    <row r="21" spans="1:10" x14ac:dyDescent="0.25">
      <c r="A21" s="283" t="s">
        <v>279</v>
      </c>
    </row>
  </sheetData>
  <mergeCells count="2">
    <mergeCell ref="E9:I9"/>
    <mergeCell ref="E19:I19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25">
    <tabColor theme="3" tint="0.79998168889431442"/>
  </sheetPr>
  <dimension ref="A1:F5"/>
  <sheetViews>
    <sheetView workbookViewId="0">
      <selection activeCell="B36" sqref="B36"/>
    </sheetView>
  </sheetViews>
  <sheetFormatPr baseColWidth="10" defaultColWidth="11.5703125" defaultRowHeight="15" x14ac:dyDescent="0.25"/>
  <cols>
    <col min="1" max="1" width="20.5703125" style="283" customWidth="1"/>
    <col min="2" max="2" width="21.5703125" style="283" customWidth="1"/>
    <col min="3" max="16384" width="11.5703125" style="283"/>
  </cols>
  <sheetData>
    <row r="1" spans="1:6" s="33" customFormat="1" x14ac:dyDescent="0.25">
      <c r="A1" s="33" t="s">
        <v>313</v>
      </c>
    </row>
    <row r="3" spans="1:6" x14ac:dyDescent="0.25">
      <c r="A3" s="292" t="s">
        <v>312</v>
      </c>
      <c r="B3" s="292" t="s">
        <v>311</v>
      </c>
      <c r="C3" s="292" t="s">
        <v>310</v>
      </c>
      <c r="D3" s="292" t="s">
        <v>310</v>
      </c>
      <c r="E3" s="292" t="s">
        <v>309</v>
      </c>
      <c r="F3" s="292" t="s">
        <v>308</v>
      </c>
    </row>
    <row r="4" spans="1:6" x14ac:dyDescent="0.25">
      <c r="A4" s="283" t="s">
        <v>305</v>
      </c>
      <c r="B4" s="283" t="s">
        <v>307</v>
      </c>
      <c r="C4" s="283" t="s">
        <v>306</v>
      </c>
      <c r="D4" s="283" t="s">
        <v>305</v>
      </c>
      <c r="E4" s="283" t="s">
        <v>95</v>
      </c>
      <c r="F4" s="283" t="s">
        <v>304</v>
      </c>
    </row>
    <row r="5" spans="1:6" x14ac:dyDescent="0.25">
      <c r="A5" s="283">
        <f>B5/F5</f>
        <v>8.0000000000000007E-5</v>
      </c>
      <c r="B5" s="283">
        <f>D5*E5*F5</f>
        <v>8.0000000000000007E-5</v>
      </c>
      <c r="C5" s="191">
        <v>20</v>
      </c>
      <c r="D5" s="283">
        <f>C5/1000</f>
        <v>0.02</v>
      </c>
      <c r="E5" s="283">
        <v>4.0000000000000001E-3</v>
      </c>
      <c r="F5" s="283">
        <v>1</v>
      </c>
    </row>
  </sheetData>
  <pageMargins left="0.7" right="0.7" top="0.78740157499999996" bottom="0.78740157499999996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26">
    <tabColor theme="3" tint="0.79998168889431442"/>
  </sheetPr>
  <dimension ref="B1:K47"/>
  <sheetViews>
    <sheetView zoomScaleNormal="100" workbookViewId="0">
      <selection activeCell="B36" sqref="B36"/>
    </sheetView>
  </sheetViews>
  <sheetFormatPr baseColWidth="10" defaultColWidth="9.140625" defaultRowHeight="15" x14ac:dyDescent="0.25"/>
  <cols>
    <col min="1" max="1" width="6.42578125" style="283" customWidth="1"/>
    <col min="2" max="2" width="47" style="283" bestFit="1" customWidth="1"/>
    <col min="3" max="8" width="20.5703125" style="283" customWidth="1"/>
    <col min="9" max="16384" width="9.140625" style="283"/>
  </cols>
  <sheetData>
    <row r="1" spans="2:11" ht="15.75" thickBot="1" x14ac:dyDescent="0.3">
      <c r="C1" s="368"/>
      <c r="F1" s="368"/>
    </row>
    <row r="2" spans="2:11" x14ac:dyDescent="0.25">
      <c r="B2" s="367"/>
      <c r="C2" s="366" t="s">
        <v>349</v>
      </c>
      <c r="D2" s="362" t="s">
        <v>349</v>
      </c>
      <c r="E2" s="365" t="s">
        <v>349</v>
      </c>
      <c r="F2" s="363" t="s">
        <v>348</v>
      </c>
      <c r="G2" s="362" t="s">
        <v>348</v>
      </c>
      <c r="H2" s="365" t="s">
        <v>348</v>
      </c>
    </row>
    <row r="3" spans="2:11" x14ac:dyDescent="0.25">
      <c r="B3" s="357" t="s">
        <v>339</v>
      </c>
      <c r="C3" s="364" t="s">
        <v>347</v>
      </c>
      <c r="D3" s="362" t="s">
        <v>346</v>
      </c>
      <c r="E3" s="361" t="s">
        <v>345</v>
      </c>
      <c r="F3" s="363" t="s">
        <v>335</v>
      </c>
      <c r="G3" s="362" t="s">
        <v>334</v>
      </c>
      <c r="H3" s="361" t="s">
        <v>333</v>
      </c>
    </row>
    <row r="4" spans="2:11" x14ac:dyDescent="0.25">
      <c r="B4" s="343" t="s">
        <v>332</v>
      </c>
      <c r="C4" s="345">
        <v>1719.65</v>
      </c>
      <c r="D4" s="344">
        <v>1335.26</v>
      </c>
      <c r="E4" s="343">
        <v>972.43</v>
      </c>
      <c r="F4" s="352" t="s">
        <v>95</v>
      </c>
      <c r="G4" s="350" t="s">
        <v>95</v>
      </c>
      <c r="H4" s="349" t="s">
        <v>95</v>
      </c>
    </row>
    <row r="5" spans="2:11" x14ac:dyDescent="0.25">
      <c r="B5" s="343" t="s">
        <v>331</v>
      </c>
      <c r="C5" s="345">
        <v>156.75</v>
      </c>
      <c r="D5" s="344">
        <v>156.75</v>
      </c>
      <c r="E5" s="343">
        <v>114.16</v>
      </c>
      <c r="F5" s="352" t="s">
        <v>95</v>
      </c>
      <c r="G5" s="350" t="s">
        <v>95</v>
      </c>
      <c r="H5" s="349" t="s">
        <v>95</v>
      </c>
    </row>
    <row r="6" spans="2:11" x14ac:dyDescent="0.25">
      <c r="B6" s="343" t="s">
        <v>330</v>
      </c>
      <c r="C6" s="345">
        <v>1908.81</v>
      </c>
      <c r="D6" s="344">
        <v>1483.63</v>
      </c>
      <c r="E6" s="343">
        <v>1080.48</v>
      </c>
      <c r="F6" s="352" t="s">
        <v>95</v>
      </c>
      <c r="G6" s="350" t="s">
        <v>95</v>
      </c>
      <c r="H6" s="349" t="s">
        <v>95</v>
      </c>
    </row>
    <row r="7" spans="2:11" x14ac:dyDescent="0.25">
      <c r="B7" s="343" t="s">
        <v>329</v>
      </c>
      <c r="C7" s="345">
        <v>1908.81</v>
      </c>
      <c r="D7" s="344">
        <v>1483.63</v>
      </c>
      <c r="E7" s="343">
        <v>1080.48</v>
      </c>
      <c r="F7" s="352" t="s">
        <v>95</v>
      </c>
      <c r="G7" s="350" t="s">
        <v>95</v>
      </c>
      <c r="H7" s="349" t="s">
        <v>95</v>
      </c>
    </row>
    <row r="8" spans="2:11" x14ac:dyDescent="0.25">
      <c r="B8" s="343" t="s">
        <v>328</v>
      </c>
      <c r="C8" s="345">
        <v>1908.81</v>
      </c>
      <c r="D8" s="344">
        <v>1483.63</v>
      </c>
      <c r="E8" s="343">
        <v>1080.48</v>
      </c>
      <c r="F8" s="352" t="s">
        <v>95</v>
      </c>
      <c r="G8" s="350" t="s">
        <v>95</v>
      </c>
      <c r="H8" s="349" t="s">
        <v>95</v>
      </c>
    </row>
    <row r="9" spans="2:11" x14ac:dyDescent="0.25">
      <c r="B9" s="343" t="s">
        <v>344</v>
      </c>
      <c r="C9" s="345">
        <v>1908.81</v>
      </c>
      <c r="D9" s="344">
        <v>1483.63</v>
      </c>
      <c r="E9" s="343">
        <v>1080.48</v>
      </c>
      <c r="F9" s="352" t="s">
        <v>95</v>
      </c>
      <c r="G9" s="350" t="s">
        <v>95</v>
      </c>
      <c r="H9" s="349" t="s">
        <v>95</v>
      </c>
    </row>
    <row r="10" spans="2:11" x14ac:dyDescent="0.25">
      <c r="B10" s="360" t="s">
        <v>326</v>
      </c>
      <c r="C10" s="352" t="s">
        <v>95</v>
      </c>
      <c r="D10" s="344">
        <v>1483.63</v>
      </c>
      <c r="E10" s="360">
        <v>1080.48</v>
      </c>
      <c r="F10" s="342" t="s">
        <v>95</v>
      </c>
      <c r="G10" s="359" t="s">
        <v>95</v>
      </c>
      <c r="H10" s="358" t="s">
        <v>95</v>
      </c>
    </row>
    <row r="11" spans="2:11" x14ac:dyDescent="0.25">
      <c r="B11" s="357" t="s">
        <v>325</v>
      </c>
      <c r="C11" s="356"/>
      <c r="D11" s="354"/>
      <c r="E11" s="353"/>
      <c r="F11" s="355"/>
      <c r="G11" s="354"/>
      <c r="H11" s="353"/>
    </row>
    <row r="12" spans="2:11" x14ac:dyDescent="0.25">
      <c r="B12" s="343" t="s">
        <v>324</v>
      </c>
      <c r="C12" s="346">
        <v>886.2</v>
      </c>
      <c r="D12" s="344">
        <v>631.25</v>
      </c>
      <c r="E12" s="343">
        <v>513.39</v>
      </c>
      <c r="F12" s="345">
        <v>98.72</v>
      </c>
      <c r="G12" s="344">
        <v>47.31</v>
      </c>
      <c r="H12" s="343">
        <v>46.37</v>
      </c>
    </row>
    <row r="13" spans="2:11" x14ac:dyDescent="0.25">
      <c r="B13" s="343" t="s">
        <v>323</v>
      </c>
      <c r="C13" s="346">
        <v>150.38999999999999</v>
      </c>
      <c r="D13" s="344">
        <v>107.13</v>
      </c>
      <c r="E13" s="343">
        <v>87.12</v>
      </c>
      <c r="F13" s="352" t="s">
        <v>95</v>
      </c>
      <c r="G13" s="350" t="s">
        <v>95</v>
      </c>
      <c r="H13" s="349" t="s">
        <v>95</v>
      </c>
      <c r="I13" s="348"/>
      <c r="J13" s="347"/>
      <c r="K13" s="347"/>
    </row>
    <row r="14" spans="2:11" ht="15" customHeight="1" x14ac:dyDescent="0.25">
      <c r="B14" s="343" t="s">
        <v>322</v>
      </c>
      <c r="C14" s="351" t="s">
        <v>95</v>
      </c>
      <c r="D14" s="350" t="s">
        <v>95</v>
      </c>
      <c r="E14" s="349" t="s">
        <v>95</v>
      </c>
      <c r="F14" s="345">
        <v>98.72</v>
      </c>
      <c r="G14" s="350" t="s">
        <v>95</v>
      </c>
      <c r="H14" s="349" t="s">
        <v>95</v>
      </c>
      <c r="I14" s="348"/>
      <c r="J14" s="347"/>
      <c r="K14" s="347"/>
    </row>
    <row r="15" spans="2:11" x14ac:dyDescent="0.25">
      <c r="B15" s="343" t="s">
        <v>321</v>
      </c>
      <c r="C15" s="346">
        <v>1681.32</v>
      </c>
      <c r="D15" s="344">
        <v>1663.59</v>
      </c>
      <c r="E15" s="343">
        <v>1705.52</v>
      </c>
      <c r="F15" s="345">
        <v>98.72</v>
      </c>
      <c r="G15" s="344">
        <v>47.31</v>
      </c>
      <c r="H15" s="343">
        <v>46.37</v>
      </c>
      <c r="I15" s="36"/>
      <c r="J15" s="36"/>
      <c r="K15" s="36"/>
    </row>
    <row r="16" spans="2:11" x14ac:dyDescent="0.25">
      <c r="B16" s="343" t="s">
        <v>320</v>
      </c>
      <c r="C16" s="346">
        <v>886.2</v>
      </c>
      <c r="D16" s="344">
        <v>631.25</v>
      </c>
      <c r="E16" s="343">
        <v>513.39</v>
      </c>
      <c r="F16" s="345">
        <v>98.72</v>
      </c>
      <c r="G16" s="344">
        <v>47.31</v>
      </c>
      <c r="H16" s="343">
        <v>46.37</v>
      </c>
      <c r="I16" s="229"/>
      <c r="J16" s="229"/>
      <c r="K16" s="229"/>
    </row>
    <row r="17" spans="2:8" x14ac:dyDescent="0.25">
      <c r="B17" s="343" t="s">
        <v>319</v>
      </c>
      <c r="C17" s="346">
        <v>886.2</v>
      </c>
      <c r="D17" s="344">
        <v>631.25</v>
      </c>
      <c r="E17" s="343">
        <v>513.39</v>
      </c>
      <c r="F17" s="345">
        <v>98.72</v>
      </c>
      <c r="G17" s="344">
        <v>47.31</v>
      </c>
      <c r="H17" s="343">
        <v>46.37</v>
      </c>
    </row>
    <row r="18" spans="2:8" x14ac:dyDescent="0.25">
      <c r="B18" s="343" t="s">
        <v>318</v>
      </c>
      <c r="C18" s="346">
        <v>747.88</v>
      </c>
      <c r="D18" s="344">
        <v>740.02</v>
      </c>
      <c r="E18" s="343">
        <v>708.24</v>
      </c>
      <c r="F18" s="345">
        <v>98.72</v>
      </c>
      <c r="G18" s="344">
        <v>47.31</v>
      </c>
      <c r="H18" s="343">
        <v>46.37</v>
      </c>
    </row>
    <row r="19" spans="2:8" ht="15.75" thickBot="1" x14ac:dyDescent="0.3">
      <c r="B19" s="340" t="s">
        <v>317</v>
      </c>
      <c r="C19" s="342" t="s">
        <v>95</v>
      </c>
      <c r="D19" s="341">
        <v>631.25</v>
      </c>
      <c r="E19" s="340">
        <v>513.39</v>
      </c>
      <c r="F19" s="342" t="s">
        <v>95</v>
      </c>
      <c r="G19" s="341">
        <v>47.31</v>
      </c>
      <c r="H19" s="340">
        <v>46.37</v>
      </c>
    </row>
    <row r="22" spans="2:8" ht="15.75" thickBot="1" x14ac:dyDescent="0.3">
      <c r="B22" s="339" t="s">
        <v>343</v>
      </c>
      <c r="C22" s="338"/>
      <c r="D22" s="335" t="s">
        <v>342</v>
      </c>
      <c r="E22" s="337">
        <v>325.25</v>
      </c>
      <c r="F22" s="336"/>
      <c r="G22" s="335" t="s">
        <v>341</v>
      </c>
      <c r="H22" s="334">
        <v>43382</v>
      </c>
    </row>
    <row r="23" spans="2:8" x14ac:dyDescent="0.25">
      <c r="B23" s="333"/>
      <c r="C23" s="330" t="s">
        <v>340</v>
      </c>
      <c r="D23" s="329" t="s">
        <v>340</v>
      </c>
      <c r="E23" s="331" t="s">
        <v>340</v>
      </c>
      <c r="F23" s="332" t="s">
        <v>207</v>
      </c>
      <c r="G23" s="329" t="s">
        <v>207</v>
      </c>
      <c r="H23" s="331" t="s">
        <v>207</v>
      </c>
    </row>
    <row r="24" spans="2:8" x14ac:dyDescent="0.25">
      <c r="B24" s="324" t="s">
        <v>339</v>
      </c>
      <c r="C24" s="330" t="s">
        <v>338</v>
      </c>
      <c r="D24" s="329" t="s">
        <v>337</v>
      </c>
      <c r="E24" s="328" t="s">
        <v>336</v>
      </c>
      <c r="F24" s="330" t="s">
        <v>335</v>
      </c>
      <c r="G24" s="329" t="s">
        <v>334</v>
      </c>
      <c r="H24" s="328" t="s">
        <v>333</v>
      </c>
    </row>
    <row r="25" spans="2:8" x14ac:dyDescent="0.25">
      <c r="B25" s="313" t="s">
        <v>332</v>
      </c>
      <c r="C25" s="312">
        <f t="shared" ref="C25:E30" si="0">C4/$E$22</f>
        <v>5.2871637202152195</v>
      </c>
      <c r="D25" s="311">
        <f t="shared" si="0"/>
        <v>4.1053343581860107</v>
      </c>
      <c r="E25" s="310">
        <f t="shared" si="0"/>
        <v>2.9897924673328209</v>
      </c>
      <c r="F25" s="316" t="s">
        <v>95</v>
      </c>
      <c r="G25" s="315" t="s">
        <v>95</v>
      </c>
      <c r="H25" s="314" t="s">
        <v>95</v>
      </c>
    </row>
    <row r="26" spans="2:8" x14ac:dyDescent="0.25">
      <c r="B26" s="313" t="s">
        <v>331</v>
      </c>
      <c r="C26" s="312">
        <f t="shared" si="0"/>
        <v>0.48193697156033821</v>
      </c>
      <c r="D26" s="311">
        <f t="shared" si="0"/>
        <v>0.48193697156033821</v>
      </c>
      <c r="E26" s="310">
        <f t="shared" si="0"/>
        <v>0.35099154496541118</v>
      </c>
      <c r="F26" s="316" t="s">
        <v>95</v>
      </c>
      <c r="G26" s="315" t="s">
        <v>95</v>
      </c>
      <c r="H26" s="314" t="s">
        <v>95</v>
      </c>
    </row>
    <row r="27" spans="2:8" x14ac:dyDescent="0.25">
      <c r="B27" s="313" t="s">
        <v>330</v>
      </c>
      <c r="C27" s="312">
        <f t="shared" si="0"/>
        <v>5.8687471176018446</v>
      </c>
      <c r="D27" s="311">
        <f t="shared" si="0"/>
        <v>4.5615065334358187</v>
      </c>
      <c r="E27" s="310">
        <f t="shared" si="0"/>
        <v>3.321998462720984</v>
      </c>
      <c r="F27" s="316" t="s">
        <v>95</v>
      </c>
      <c r="G27" s="315" t="s">
        <v>95</v>
      </c>
      <c r="H27" s="314" t="s">
        <v>95</v>
      </c>
    </row>
    <row r="28" spans="2:8" x14ac:dyDescent="0.25">
      <c r="B28" s="313" t="s">
        <v>329</v>
      </c>
      <c r="C28" s="312">
        <f t="shared" si="0"/>
        <v>5.8687471176018446</v>
      </c>
      <c r="D28" s="311">
        <f t="shared" si="0"/>
        <v>4.5615065334358187</v>
      </c>
      <c r="E28" s="310">
        <f t="shared" si="0"/>
        <v>3.321998462720984</v>
      </c>
      <c r="F28" s="316" t="s">
        <v>95</v>
      </c>
      <c r="G28" s="315" t="s">
        <v>95</v>
      </c>
      <c r="H28" s="314" t="s">
        <v>95</v>
      </c>
    </row>
    <row r="29" spans="2:8" x14ac:dyDescent="0.25">
      <c r="B29" s="313" t="s">
        <v>328</v>
      </c>
      <c r="C29" s="312">
        <f t="shared" si="0"/>
        <v>5.8687471176018446</v>
      </c>
      <c r="D29" s="311">
        <f t="shared" si="0"/>
        <v>4.5615065334358187</v>
      </c>
      <c r="E29" s="310">
        <f t="shared" si="0"/>
        <v>3.321998462720984</v>
      </c>
      <c r="F29" s="316" t="s">
        <v>95</v>
      </c>
      <c r="G29" s="315" t="s">
        <v>95</v>
      </c>
      <c r="H29" s="314" t="s">
        <v>95</v>
      </c>
    </row>
    <row r="30" spans="2:8" x14ac:dyDescent="0.25">
      <c r="B30" s="313" t="s">
        <v>327</v>
      </c>
      <c r="C30" s="312">
        <f t="shared" si="0"/>
        <v>5.8687471176018446</v>
      </c>
      <c r="D30" s="311">
        <f t="shared" si="0"/>
        <v>4.5615065334358187</v>
      </c>
      <c r="E30" s="310">
        <f t="shared" si="0"/>
        <v>3.321998462720984</v>
      </c>
      <c r="F30" s="316" t="s">
        <v>95</v>
      </c>
      <c r="G30" s="315" t="s">
        <v>95</v>
      </c>
      <c r="H30" s="314" t="s">
        <v>95</v>
      </c>
    </row>
    <row r="31" spans="2:8" x14ac:dyDescent="0.25">
      <c r="B31" s="327" t="s">
        <v>326</v>
      </c>
      <c r="C31" s="316" t="s">
        <v>95</v>
      </c>
      <c r="D31" s="311">
        <f>D10/$E$22</f>
        <v>4.5615065334358187</v>
      </c>
      <c r="E31" s="310">
        <f>E10/$E$22</f>
        <v>3.321998462720984</v>
      </c>
      <c r="F31" s="316" t="s">
        <v>95</v>
      </c>
      <c r="G31" s="326" t="s">
        <v>95</v>
      </c>
      <c r="H31" s="325" t="s">
        <v>95</v>
      </c>
    </row>
    <row r="32" spans="2:8" x14ac:dyDescent="0.25">
      <c r="B32" s="324" t="s">
        <v>325</v>
      </c>
      <c r="C32" s="323"/>
      <c r="D32" s="321"/>
      <c r="E32" s="320"/>
      <c r="F32" s="322"/>
      <c r="G32" s="321"/>
      <c r="H32" s="320"/>
    </row>
    <row r="33" spans="2:8" x14ac:dyDescent="0.25">
      <c r="B33" s="313" t="s">
        <v>324</v>
      </c>
      <c r="C33" s="312">
        <f t="shared" ref="C33:H33" si="1">C12/$E$22</f>
        <v>2.7246733282090703</v>
      </c>
      <c r="D33" s="318">
        <f t="shared" si="1"/>
        <v>1.9408147578785551</v>
      </c>
      <c r="E33" s="317">
        <f t="shared" si="1"/>
        <v>1.5784473481936971</v>
      </c>
      <c r="F33" s="319">
        <f t="shared" si="1"/>
        <v>0.30352036894696388</v>
      </c>
      <c r="G33" s="318">
        <f t="shared" si="1"/>
        <v>0.14545734050730208</v>
      </c>
      <c r="H33" s="317">
        <f t="shared" si="1"/>
        <v>0.14256725595695618</v>
      </c>
    </row>
    <row r="34" spans="2:8" x14ac:dyDescent="0.25">
      <c r="B34" s="313" t="s">
        <v>323</v>
      </c>
      <c r="C34" s="312">
        <f>C13/$E$22</f>
        <v>0.46238278247501918</v>
      </c>
      <c r="D34" s="311">
        <f>D13/$E$22</f>
        <v>0.32937740199846272</v>
      </c>
      <c r="E34" s="310">
        <f>E13/$E$22</f>
        <v>0.26785549577248274</v>
      </c>
      <c r="F34" s="316" t="s">
        <v>95</v>
      </c>
      <c r="G34" s="315" t="s">
        <v>95</v>
      </c>
      <c r="H34" s="314" t="s">
        <v>95</v>
      </c>
    </row>
    <row r="35" spans="2:8" x14ac:dyDescent="0.25">
      <c r="B35" s="313" t="s">
        <v>322</v>
      </c>
      <c r="C35" s="316" t="s">
        <v>95</v>
      </c>
      <c r="D35" s="315" t="s">
        <v>95</v>
      </c>
      <c r="E35" s="314" t="s">
        <v>95</v>
      </c>
      <c r="F35" s="312">
        <f>F14/$E$22</f>
        <v>0.30352036894696388</v>
      </c>
      <c r="G35" s="315" t="s">
        <v>95</v>
      </c>
      <c r="H35" s="314" t="s">
        <v>95</v>
      </c>
    </row>
    <row r="36" spans="2:8" x14ac:dyDescent="0.25">
      <c r="B36" s="313" t="s">
        <v>321</v>
      </c>
      <c r="C36" s="312">
        <f t="shared" ref="C36:E39" si="2">C15/$E$22</f>
        <v>5.1693159108378168</v>
      </c>
      <c r="D36" s="311">
        <f t="shared" si="2"/>
        <v>5.114803996925442</v>
      </c>
      <c r="E36" s="310">
        <f t="shared" si="2"/>
        <v>5.2437202152190618</v>
      </c>
      <c r="F36" s="312">
        <f>F15/$E$22</f>
        <v>0.30352036894696388</v>
      </c>
      <c r="G36" s="311">
        <f t="shared" ref="G36:H40" si="3">G15/$E$22</f>
        <v>0.14545734050730208</v>
      </c>
      <c r="H36" s="310">
        <f t="shared" si="3"/>
        <v>0.14256725595695618</v>
      </c>
    </row>
    <row r="37" spans="2:8" x14ac:dyDescent="0.25">
      <c r="B37" s="313" t="s">
        <v>320</v>
      </c>
      <c r="C37" s="312">
        <f t="shared" si="2"/>
        <v>2.7246733282090703</v>
      </c>
      <c r="D37" s="311">
        <f t="shared" si="2"/>
        <v>1.9408147578785551</v>
      </c>
      <c r="E37" s="310">
        <f t="shared" si="2"/>
        <v>1.5784473481936971</v>
      </c>
      <c r="F37" s="312">
        <f>F16/$E$22</f>
        <v>0.30352036894696388</v>
      </c>
      <c r="G37" s="311">
        <f t="shared" si="3"/>
        <v>0.14545734050730208</v>
      </c>
      <c r="H37" s="310">
        <f t="shared" si="3"/>
        <v>0.14256725595695618</v>
      </c>
    </row>
    <row r="38" spans="2:8" x14ac:dyDescent="0.25">
      <c r="B38" s="313" t="s">
        <v>319</v>
      </c>
      <c r="C38" s="312">
        <f t="shared" si="2"/>
        <v>2.7246733282090703</v>
      </c>
      <c r="D38" s="311">
        <f t="shared" si="2"/>
        <v>1.9408147578785551</v>
      </c>
      <c r="E38" s="310">
        <f t="shared" si="2"/>
        <v>1.5784473481936971</v>
      </c>
      <c r="F38" s="312">
        <f>F17/$E$22</f>
        <v>0.30352036894696388</v>
      </c>
      <c r="G38" s="311">
        <f t="shared" si="3"/>
        <v>0.14545734050730208</v>
      </c>
      <c r="H38" s="310">
        <f t="shared" si="3"/>
        <v>0.14256725595695618</v>
      </c>
    </row>
    <row r="39" spans="2:8" x14ac:dyDescent="0.25">
      <c r="B39" s="313" t="s">
        <v>318</v>
      </c>
      <c r="C39" s="312">
        <f t="shared" si="2"/>
        <v>2.2994004611837049</v>
      </c>
      <c r="D39" s="311">
        <f t="shared" si="2"/>
        <v>2.2752344350499616</v>
      </c>
      <c r="E39" s="310">
        <f t="shared" si="2"/>
        <v>2.1775249807840122</v>
      </c>
      <c r="F39" s="312">
        <f>F18/$E$22</f>
        <v>0.30352036894696388</v>
      </c>
      <c r="G39" s="311">
        <f t="shared" si="3"/>
        <v>0.14545734050730208</v>
      </c>
      <c r="H39" s="310">
        <f t="shared" si="3"/>
        <v>0.14256725595695618</v>
      </c>
    </row>
    <row r="40" spans="2:8" ht="15.75" thickBot="1" x14ac:dyDescent="0.3">
      <c r="B40" s="309" t="s">
        <v>317</v>
      </c>
      <c r="C40" s="308" t="s">
        <v>95</v>
      </c>
      <c r="D40" s="307">
        <f>D19/$E$22</f>
        <v>1.9408147578785551</v>
      </c>
      <c r="E40" s="306">
        <f>E19/$E$22</f>
        <v>1.5784473481936971</v>
      </c>
      <c r="F40" s="308" t="s">
        <v>95</v>
      </c>
      <c r="G40" s="307">
        <f t="shared" si="3"/>
        <v>0.14545734050730208</v>
      </c>
      <c r="H40" s="306">
        <f t="shared" si="3"/>
        <v>0.14256725595695618</v>
      </c>
    </row>
    <row r="43" spans="2:8" x14ac:dyDescent="0.25">
      <c r="B43" s="305" t="s">
        <v>316</v>
      </c>
      <c r="C43" s="304">
        <f>C28+C37</f>
        <v>8.5934204458109154</v>
      </c>
      <c r="D43" s="304">
        <f>D28+D37</f>
        <v>6.5023212913143738</v>
      </c>
      <c r="E43" s="303">
        <f>E28+E37</f>
        <v>4.9004458109146807</v>
      </c>
    </row>
    <row r="44" spans="2:8" x14ac:dyDescent="0.25">
      <c r="B44" s="302" t="s">
        <v>315</v>
      </c>
      <c r="C44" s="301"/>
      <c r="D44" s="300">
        <f>1-D43/C43</f>
        <v>0.24333723314048972</v>
      </c>
      <c r="E44" s="299">
        <f>1-E43/C43</f>
        <v>0.4297444374080952</v>
      </c>
    </row>
    <row r="47" spans="2:8" x14ac:dyDescent="0.25">
      <c r="B47" s="48" t="s">
        <v>314</v>
      </c>
    </row>
  </sheetData>
  <pageMargins left="0.7" right="0.7" top="0.75" bottom="0.75" header="0.3" footer="0.3"/>
  <pageSetup paperSize="9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Tabelle7">
    <tabColor rgb="FF00486A"/>
  </sheetPr>
  <dimension ref="A1"/>
  <sheetViews>
    <sheetView workbookViewId="0">
      <selection activeCell="B36" sqref="B36"/>
    </sheetView>
  </sheetViews>
  <sheetFormatPr baseColWidth="10" defaultColWidth="10.85546875" defaultRowHeight="15" x14ac:dyDescent="0.25"/>
  <cols>
    <col min="1" max="16384" width="10.85546875" style="283"/>
  </cols>
  <sheetData/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Tabelle12">
    <tabColor rgb="FFB1A0C7"/>
  </sheetPr>
  <dimension ref="A1:O15"/>
  <sheetViews>
    <sheetView zoomScale="70" zoomScaleNormal="70" workbookViewId="0">
      <selection activeCell="B36" sqref="B36"/>
    </sheetView>
  </sheetViews>
  <sheetFormatPr baseColWidth="10" defaultRowHeight="15" x14ac:dyDescent="0.25"/>
  <cols>
    <col min="1" max="1" width="4.85546875" customWidth="1"/>
    <col min="2" max="2" width="23.42578125" bestFit="1" customWidth="1"/>
    <col min="3" max="3" width="24" customWidth="1"/>
    <col min="4" max="4" width="15.5703125" customWidth="1"/>
    <col min="5" max="5" width="15.140625" customWidth="1"/>
    <col min="6" max="9" width="16.5703125" style="283" customWidth="1"/>
    <col min="10" max="10" width="16.5703125" customWidth="1"/>
    <col min="11" max="11" width="21.42578125" customWidth="1"/>
  </cols>
  <sheetData>
    <row r="1" spans="1:15" x14ac:dyDescent="0.25">
      <c r="B1" s="232"/>
    </row>
    <row r="2" spans="1:15" ht="19.350000000000001" customHeight="1" x14ac:dyDescent="0.25">
      <c r="A2" s="234"/>
      <c r="B2" s="233" t="s">
        <v>240</v>
      </c>
      <c r="D2" s="663" t="s">
        <v>83</v>
      </c>
      <c r="E2" s="663"/>
      <c r="F2" s="663"/>
      <c r="G2" s="663"/>
      <c r="H2" s="663"/>
      <c r="I2" s="663"/>
      <c r="J2" s="663"/>
      <c r="K2" s="663"/>
      <c r="L2" s="663"/>
    </row>
    <row r="3" spans="1:15" ht="33.75" customHeight="1" thickBot="1" x14ac:dyDescent="0.3">
      <c r="C3" s="394"/>
      <c r="D3" s="270" t="str">
        <f>CAA!E4</f>
        <v>Exit East</v>
      </c>
      <c r="E3" s="390" t="str">
        <f>CAA!F4</f>
        <v>Exit West</v>
      </c>
      <c r="F3" s="390" t="str">
        <f>CAA!H4</f>
        <v>Exit Arnoldstein</v>
      </c>
      <c r="G3" s="390" t="str">
        <f>CAA!I4</f>
        <v>Exit Murfeld</v>
      </c>
      <c r="H3" s="390" t="str">
        <f>CAA!J4</f>
        <v>Exit Storage</v>
      </c>
      <c r="I3" s="390" t="str">
        <f>CAA!K4</f>
        <v>Exit VG-Kärnten</v>
      </c>
      <c r="J3" s="390" t="str">
        <f>CAA!L4</f>
        <v>Exit VG1</v>
      </c>
      <c r="K3" s="664" t="s">
        <v>238</v>
      </c>
      <c r="L3" s="664" t="s">
        <v>239</v>
      </c>
    </row>
    <row r="4" spans="1:15" ht="48" customHeight="1" thickBot="1" x14ac:dyDescent="0.3">
      <c r="B4" s="393"/>
      <c r="C4" s="388" t="s">
        <v>241</v>
      </c>
      <c r="D4" s="455">
        <f>CAA!E16*1000</f>
        <v>11814771.27</v>
      </c>
      <c r="E4" s="236">
        <f>(CAA!F16+CAA!G16)*1000</f>
        <v>22394379.150000002</v>
      </c>
      <c r="F4" s="236">
        <f>CAA!H16*1000</f>
        <v>48558893.100000009</v>
      </c>
      <c r="G4" s="236">
        <f>CAA!I16*1000</f>
        <v>3382423.6799999997</v>
      </c>
      <c r="H4" s="236">
        <f>CAA!J16*1000</f>
        <v>8700218</v>
      </c>
      <c r="I4" s="236">
        <f>CAA!K16*1000</f>
        <v>471871</v>
      </c>
      <c r="J4" s="456">
        <f>(CAA!L16+CAA!M16)*1000</f>
        <v>32019236.456849314</v>
      </c>
      <c r="K4" s="666"/>
      <c r="L4" s="665"/>
    </row>
    <row r="5" spans="1:15" ht="13.7" customHeight="1" x14ac:dyDescent="0.25">
      <c r="A5" s="662" t="s">
        <v>71</v>
      </c>
      <c r="B5" s="242" t="str">
        <f>CAA!C6</f>
        <v>Arnoldstein</v>
      </c>
      <c r="C5" s="452">
        <f>CAA!P6*1000</f>
        <v>531334.7699999999</v>
      </c>
      <c r="D5" s="275">
        <f>D6+F6</f>
        <v>406.42794271774989</v>
      </c>
      <c r="E5" s="442">
        <f>E6+F6</f>
        <v>652.16123585293951</v>
      </c>
      <c r="F5" s="442">
        <f>CAA!H6</f>
        <v>0</v>
      </c>
      <c r="G5" s="442">
        <f>CAA!I6</f>
        <v>198.21445</v>
      </c>
      <c r="H5" s="442">
        <f>H6+F6</f>
        <v>496.19784384649444</v>
      </c>
      <c r="I5" s="442">
        <f>F6-I6</f>
        <v>43.410121471821753</v>
      </c>
      <c r="J5" s="237">
        <f>SUMPRODUCT(Distances!E13:E24,Distances!F13:F24)/SUM(Distances!E13:E24)</f>
        <v>382.64254487678897</v>
      </c>
      <c r="K5" s="444">
        <f>SUMPRODUCT(D5:J5,$D$4:$J$4)/SUMIF(D5:J5,"&lt;&gt;0",$D$4:$J$4)</f>
        <v>465.41165826721056</v>
      </c>
      <c r="L5" s="445">
        <f>C5*K5/SUMPRODUCT($C$5:$C$13,$K$5:$K$13)</f>
        <v>8.9745314360774216E-3</v>
      </c>
      <c r="N5" s="37"/>
    </row>
    <row r="6" spans="1:15" x14ac:dyDescent="0.25">
      <c r="A6" s="662"/>
      <c r="B6" s="440" t="str">
        <f>CAA!C7</f>
        <v>Baumgarten</v>
      </c>
      <c r="C6" s="453">
        <f>CAA!P7*1000</f>
        <v>81872004.269999996</v>
      </c>
      <c r="D6" s="277">
        <f>CAA!E7</f>
        <v>24.833472717749871</v>
      </c>
      <c r="E6" s="395">
        <f>CAA!F7</f>
        <v>270.56676585293951</v>
      </c>
      <c r="F6" s="395">
        <f>CAA!H7</f>
        <v>381.59447</v>
      </c>
      <c r="G6" s="395">
        <f>CAA!I7</f>
        <v>238</v>
      </c>
      <c r="H6" s="395">
        <f>CAA!J7</f>
        <v>114.60337384649442</v>
      </c>
      <c r="I6" s="395">
        <f>CAA!K7</f>
        <v>338.18434852817825</v>
      </c>
      <c r="J6" s="243">
        <f>CAA!L7</f>
        <v>37.275145170465059</v>
      </c>
      <c r="K6" s="446">
        <f t="shared" ref="K6:K13" si="0">SUMPRODUCT(D6:J6,$D$4:$J$4)/SUMIF(D6:J6,"&lt;&gt;0",$D$4:$J$4)</f>
        <v>220.17574338281435</v>
      </c>
      <c r="L6" s="447">
        <f t="shared" ref="L6:L13" si="1">C6*K6/SUMPRODUCT($C$5:$C$13,$K$5:$K$13)</f>
        <v>0.65420096777429182</v>
      </c>
      <c r="N6" s="37"/>
    </row>
    <row r="7" spans="1:15" x14ac:dyDescent="0.25">
      <c r="A7" s="662"/>
      <c r="B7" s="235" t="str">
        <f>CAA!C8</f>
        <v>Mosonmagyarovar</v>
      </c>
      <c r="C7" s="453">
        <f>CAA!P8*1000</f>
        <v>0</v>
      </c>
      <c r="D7" s="277">
        <f>CAA!E8</f>
        <v>21.166527282250129</v>
      </c>
      <c r="E7" s="395">
        <f>CAA!F8</f>
        <v>316.56676585293951</v>
      </c>
      <c r="F7" s="395">
        <f>CAA!H8</f>
        <v>427.59447</v>
      </c>
      <c r="G7" s="395">
        <f>CAA!I8</f>
        <v>284</v>
      </c>
      <c r="H7" s="395">
        <f>CAA!J8</f>
        <v>160.60337384649443</v>
      </c>
      <c r="I7" s="395">
        <f>CAA!K8</f>
        <v>384.18434852817825</v>
      </c>
      <c r="J7" s="243">
        <f>CAA!L8</f>
        <v>83.275145170465066</v>
      </c>
      <c r="K7" s="446">
        <f t="shared" si="0"/>
        <v>261.56764428386987</v>
      </c>
      <c r="L7" s="447">
        <f t="shared" si="1"/>
        <v>0</v>
      </c>
      <c r="N7" s="37"/>
    </row>
    <row r="8" spans="1:15" x14ac:dyDescent="0.25">
      <c r="A8" s="662"/>
      <c r="B8" s="441" t="str">
        <f>CAA!C9</f>
        <v>Murfeld</v>
      </c>
      <c r="C8" s="453">
        <f>CAA!P9*1000</f>
        <v>0</v>
      </c>
      <c r="D8" s="277">
        <f>CAA!E9</f>
        <v>262.83347271774988</v>
      </c>
      <c r="E8" s="395">
        <f>CAA!F9</f>
        <v>508.56676585293951</v>
      </c>
      <c r="F8" s="395">
        <f>CAA!H9</f>
        <v>198.21445</v>
      </c>
      <c r="G8" s="395">
        <f>CAA!I9</f>
        <v>0</v>
      </c>
      <c r="H8" s="395">
        <f>CAA!J9</f>
        <v>352.60337384649443</v>
      </c>
      <c r="I8" s="395">
        <f>CAA!K9</f>
        <v>154.80432852817825</v>
      </c>
      <c r="J8" s="243">
        <f>CAA!L9</f>
        <v>214.98403148352878</v>
      </c>
      <c r="K8" s="446">
        <f t="shared" si="0"/>
        <v>275.44369854356694</v>
      </c>
      <c r="L8" s="447">
        <f t="shared" si="1"/>
        <v>0</v>
      </c>
      <c r="N8" s="37"/>
    </row>
    <row r="9" spans="1:15" x14ac:dyDescent="0.25">
      <c r="A9" s="662"/>
      <c r="B9" s="441" t="str">
        <f>CAA!C10</f>
        <v>Oberkappel</v>
      </c>
      <c r="C9" s="453">
        <f>CAA!P10*1000</f>
        <v>9651005.7300000004</v>
      </c>
      <c r="D9" s="277">
        <f>CAA!E10</f>
        <v>266.83347271774988</v>
      </c>
      <c r="E9" s="395">
        <f>CAA!F10</f>
        <v>28.566765852939511</v>
      </c>
      <c r="F9" s="395">
        <f>CAA!H10</f>
        <v>623.59447</v>
      </c>
      <c r="G9" s="395">
        <f>CAA!I10</f>
        <v>480</v>
      </c>
      <c r="H9" s="395">
        <f>CAA!J10</f>
        <v>192.44664811847244</v>
      </c>
      <c r="I9" s="395">
        <f>CAA!K10</f>
        <v>580.18434852817825</v>
      </c>
      <c r="J9" s="243">
        <f>CAA!L10</f>
        <v>241.62139261349228</v>
      </c>
      <c r="K9" s="446">
        <f t="shared" si="0"/>
        <v>356.37604530949886</v>
      </c>
      <c r="L9" s="447">
        <f t="shared" si="1"/>
        <v>0.12482091627440745</v>
      </c>
      <c r="N9" s="37"/>
    </row>
    <row r="10" spans="1:15" x14ac:dyDescent="0.25">
      <c r="A10" s="662"/>
      <c r="B10" s="440" t="str">
        <f>CAA!C11</f>
        <v>Storage 7-fields</v>
      </c>
      <c r="C10" s="453">
        <f>CAA!P11*1000</f>
        <v>2950825</v>
      </c>
      <c r="D10" s="277">
        <f>CAA!E11</f>
        <v>358.83347271774988</v>
      </c>
      <c r="E10" s="395">
        <f>CAA!F11</f>
        <v>65.237450937772493</v>
      </c>
      <c r="F10" s="395">
        <f>CAA!H11</f>
        <v>715.59447</v>
      </c>
      <c r="G10" s="395">
        <f>CAA!I11</f>
        <v>572</v>
      </c>
      <c r="H10" s="395">
        <f>CAA!J11</f>
        <v>226.00495826656297</v>
      </c>
      <c r="I10" s="395">
        <f>CAA!K11</f>
        <v>672.18434852817825</v>
      </c>
      <c r="J10" s="243">
        <f>CAA!L11</f>
        <v>333.62139261349222</v>
      </c>
      <c r="K10" s="446">
        <f t="shared" si="0"/>
        <v>434.65296931174618</v>
      </c>
      <c r="L10" s="447">
        <f t="shared" si="1"/>
        <v>4.654707483162604E-2</v>
      </c>
      <c r="N10" s="37"/>
      <c r="O10" s="129"/>
    </row>
    <row r="11" spans="1:15" x14ac:dyDescent="0.25">
      <c r="A11" s="662"/>
      <c r="B11" s="235" t="str">
        <f>CAA!C12</f>
        <v>Storage MAB</v>
      </c>
      <c r="C11" s="453">
        <f>CAA!P12*1000</f>
        <v>5749393</v>
      </c>
      <c r="D11" s="277">
        <f>CAA!E12</f>
        <v>22.833472717749871</v>
      </c>
      <c r="E11" s="395">
        <f>CAA!F12</f>
        <v>272.56676585293951</v>
      </c>
      <c r="F11" s="395">
        <f>CAA!H12</f>
        <v>383.59447</v>
      </c>
      <c r="G11" s="395">
        <f>CAA!I12</f>
        <v>240</v>
      </c>
      <c r="H11" s="395">
        <f>CAA!J12</f>
        <v>113.96004100127146</v>
      </c>
      <c r="I11" s="395">
        <f>CAA!K12</f>
        <v>340.18434852817825</v>
      </c>
      <c r="J11" s="243">
        <f>CAA!L12</f>
        <v>39.275145170465059</v>
      </c>
      <c r="K11" s="446">
        <f t="shared" si="0"/>
        <v>221.62402618444469</v>
      </c>
      <c r="L11" s="447">
        <f t="shared" si="1"/>
        <v>4.6242906703493201E-2</v>
      </c>
      <c r="N11" s="37"/>
    </row>
    <row r="12" spans="1:15" x14ac:dyDescent="0.25">
      <c r="A12" s="662"/>
      <c r="B12" s="441" t="str">
        <f>CAA!C13</f>
        <v>Überackern</v>
      </c>
      <c r="C12" s="453">
        <f>(CAA!P13+CAA!P14)*1000</f>
        <v>4750155</v>
      </c>
      <c r="D12" s="277">
        <f>CAA!E13</f>
        <v>361.83347271774988</v>
      </c>
      <c r="E12" s="395">
        <f>CAA!F13</f>
        <v>66.433234147060489</v>
      </c>
      <c r="F12" s="395">
        <f>CAA!H13</f>
        <v>718.59447</v>
      </c>
      <c r="G12" s="395">
        <f>CAA!I13</f>
        <v>575</v>
      </c>
      <c r="H12" s="395">
        <f>CAA!J13</f>
        <v>451.60337384649443</v>
      </c>
      <c r="I12" s="395">
        <f>CAA!K13</f>
        <v>675.18434852817825</v>
      </c>
      <c r="J12" s="243">
        <f>CAA!L13</f>
        <v>336.62139261349222</v>
      </c>
      <c r="K12" s="446">
        <f t="shared" si="0"/>
        <v>452.54399909510931</v>
      </c>
      <c r="L12" s="447">
        <f t="shared" si="1"/>
        <v>7.80144192881429E-2</v>
      </c>
      <c r="N12" s="37"/>
    </row>
    <row r="13" spans="1:15" ht="15.75" thickBot="1" x14ac:dyDescent="0.3">
      <c r="A13" s="662"/>
      <c r="B13" s="441" t="str">
        <f>CAA!C15</f>
        <v>Verteilergebiet</v>
      </c>
      <c r="C13" s="454">
        <f>CAA!P15*1000</f>
        <v>4031159</v>
      </c>
      <c r="D13" s="276">
        <f>CAA!E15</f>
        <v>24.833472717749871</v>
      </c>
      <c r="E13" s="443">
        <f>CAA!F15</f>
        <v>270.56676585293951</v>
      </c>
      <c r="F13" s="443">
        <f>CAA!H15</f>
        <v>381.59447</v>
      </c>
      <c r="G13" s="443">
        <f>CAA!I15</f>
        <v>238</v>
      </c>
      <c r="H13" s="443">
        <f>CAA!J15</f>
        <v>114.60337384649442</v>
      </c>
      <c r="I13" s="443">
        <f>CAA!K15</f>
        <v>338.18434852817825</v>
      </c>
      <c r="J13" s="239">
        <f>CAA!L15</f>
        <v>0</v>
      </c>
      <c r="K13" s="448">
        <f t="shared" si="0"/>
        <v>281.61280230906669</v>
      </c>
      <c r="L13" s="449">
        <f t="shared" si="1"/>
        <v>4.1199183691961204E-2</v>
      </c>
      <c r="N13" s="37"/>
    </row>
    <row r="14" spans="1:15" ht="13.7" customHeight="1" x14ac:dyDescent="0.25">
      <c r="A14" s="662"/>
      <c r="B14" s="669" t="s">
        <v>242</v>
      </c>
      <c r="C14" s="670"/>
      <c r="D14" s="241">
        <f>SUMPRODUCT($C$5:$C$13,D5:D13)/SUMIF(D5:D13,"&lt;&gt;0",$C$5:$C$13)</f>
        <v>71.51385677444766</v>
      </c>
      <c r="E14" s="238">
        <f t="shared" ref="E14:J14" si="2">SUMPRODUCT($C$5:$C$13,E5:E13)/SUMIF(E5:E13,"&lt;&gt;0",$C$5:$C$13)</f>
        <v>236.8166641355206</v>
      </c>
      <c r="F14" s="238">
        <f t="shared" si="2"/>
        <v>426.85331763278953</v>
      </c>
      <c r="G14" s="238">
        <f t="shared" si="2"/>
        <v>282.84631571367328</v>
      </c>
      <c r="H14" s="238">
        <f t="shared" si="2"/>
        <v>140.89476277678909</v>
      </c>
      <c r="I14" s="238">
        <f t="shared" si="2"/>
        <v>381.79376949949386</v>
      </c>
      <c r="J14" s="244">
        <f t="shared" si="2"/>
        <v>79.581862659909078</v>
      </c>
    </row>
    <row r="15" spans="1:15" ht="15.75" thickBot="1" x14ac:dyDescent="0.3">
      <c r="A15" s="662"/>
      <c r="B15" s="667" t="s">
        <v>243</v>
      </c>
      <c r="C15" s="668"/>
      <c r="D15" s="450">
        <f>D14*D4/SUMPRODUCT($D$14:$J$14,$D$4:$J$4)</f>
        <v>2.6580977830209299E-2</v>
      </c>
      <c r="E15" s="240">
        <f t="shared" ref="E15:J15" si="3">E14*E4/SUMPRODUCT($D$14:$J$14,$D$4:$J$4)</f>
        <v>0.1668425122362929</v>
      </c>
      <c r="F15" s="240">
        <f t="shared" si="3"/>
        <v>0.65208299415526993</v>
      </c>
      <c r="G15" s="240">
        <f t="shared" si="3"/>
        <v>3.0097745584120393E-2</v>
      </c>
      <c r="H15" s="240">
        <f t="shared" si="3"/>
        <v>3.8563853075961774E-2</v>
      </c>
      <c r="I15" s="240">
        <f t="shared" si="3"/>
        <v>5.6677091960728905E-3</v>
      </c>
      <c r="J15" s="451">
        <f t="shared" si="3"/>
        <v>8.0164207922072905E-2</v>
      </c>
    </row>
  </sheetData>
  <mergeCells count="6">
    <mergeCell ref="A5:A15"/>
    <mergeCell ref="D2:L2"/>
    <mergeCell ref="L3:L4"/>
    <mergeCell ref="K3:K4"/>
    <mergeCell ref="B15:C15"/>
    <mergeCell ref="B14:C14"/>
  </mergeCells>
  <conditionalFormatting sqref="D5:J13">
    <cfRule type="cellIs" dxfId="2" priority="1" operator="equal">
      <formula>0</formula>
    </cfRule>
    <cfRule type="containsText" dxfId="1" priority="2" operator="containsText" text="x">
      <formula>NOT(ISERROR(SEARCH("x",D5)))</formula>
    </cfRule>
  </conditionalFormatting>
  <conditionalFormatting sqref="D4:J4">
    <cfRule type="expression" dxfId="0" priority="14">
      <formula>#REF!="technical"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Tabelle13">
    <tabColor rgb="FFB1A0C7"/>
  </sheetPr>
  <dimension ref="A2:S30"/>
  <sheetViews>
    <sheetView zoomScale="85" zoomScaleNormal="85" workbookViewId="0">
      <pane xSplit="1" topLeftCell="C1" activePane="topRight" state="frozen"/>
      <selection activeCell="B36" sqref="B36"/>
      <selection pane="topRight" activeCell="B36" sqref="B36"/>
    </sheetView>
  </sheetViews>
  <sheetFormatPr baseColWidth="10" defaultRowHeight="15" x14ac:dyDescent="0.25"/>
  <cols>
    <col min="1" max="1" width="19.5703125" bestFit="1" customWidth="1"/>
    <col min="2" max="3" width="19.42578125" customWidth="1"/>
    <col min="4" max="4" width="19" customWidth="1"/>
    <col min="5" max="5" width="14.42578125" customWidth="1"/>
    <col min="6" max="6" width="16.85546875" customWidth="1"/>
    <col min="7" max="7" width="15.42578125" customWidth="1"/>
    <col min="8" max="8" width="17.42578125" bestFit="1" customWidth="1"/>
    <col min="9" max="9" width="13.42578125" bestFit="1" customWidth="1"/>
    <col min="10" max="10" width="13.85546875" bestFit="1" customWidth="1"/>
    <col min="11" max="11" width="10.140625" customWidth="1"/>
    <col min="12" max="12" width="21.42578125" customWidth="1"/>
    <col min="15" max="15" width="12.42578125" style="283" bestFit="1" customWidth="1"/>
    <col min="16" max="16" width="15.85546875" customWidth="1"/>
    <col min="18" max="18" width="16" customWidth="1"/>
    <col min="19" max="19" width="6.42578125" customWidth="1"/>
  </cols>
  <sheetData>
    <row r="2" spans="1:19" ht="30" x14ac:dyDescent="0.25">
      <c r="A2" s="279"/>
      <c r="B2" s="280"/>
      <c r="C2" s="281"/>
      <c r="D2" s="226" t="s">
        <v>235</v>
      </c>
      <c r="E2" s="677" t="s">
        <v>236</v>
      </c>
      <c r="F2" s="678"/>
      <c r="G2" s="269" t="s">
        <v>237</v>
      </c>
      <c r="H2" s="269" t="s">
        <v>376</v>
      </c>
      <c r="I2" s="390" t="s">
        <v>377</v>
      </c>
    </row>
    <row r="3" spans="1:19" x14ac:dyDescent="0.25">
      <c r="A3" s="41"/>
      <c r="B3" s="41"/>
      <c r="C3" s="41"/>
      <c r="D3" s="457">
        <f>Overview!C13/10^6</f>
        <v>454.26499999999999</v>
      </c>
      <c r="E3" s="227">
        <v>0.5</v>
      </c>
      <c r="F3" s="228">
        <f>1-E3</f>
        <v>0.5</v>
      </c>
      <c r="G3" s="41">
        <f>discount_DZK</f>
        <v>0.1</v>
      </c>
      <c r="H3" s="41">
        <f>discount_storage_entry</f>
        <v>1</v>
      </c>
      <c r="I3">
        <f>discount_storage_exit</f>
        <v>0.5</v>
      </c>
    </row>
    <row r="4" spans="1:19" x14ac:dyDescent="0.25">
      <c r="A4" s="41"/>
      <c r="B4" s="227"/>
      <c r="C4" s="228"/>
      <c r="D4" s="41"/>
      <c r="E4" s="230"/>
      <c r="F4" s="231"/>
      <c r="G4" s="246"/>
      <c r="H4" s="247"/>
      <c r="I4" s="29"/>
    </row>
    <row r="5" spans="1:19" x14ac:dyDescent="0.25">
      <c r="A5" s="41"/>
      <c r="B5" s="227"/>
      <c r="C5" s="228"/>
      <c r="D5" s="41"/>
      <c r="E5" s="230"/>
      <c r="F5" s="231"/>
      <c r="G5" s="246"/>
      <c r="H5" s="247"/>
      <c r="I5" s="29"/>
    </row>
    <row r="6" spans="1:19" ht="15.75" x14ac:dyDescent="0.25">
      <c r="A6" s="248" t="s">
        <v>71</v>
      </c>
      <c r="B6" s="248"/>
      <c r="C6" s="248"/>
    </row>
    <row r="8" spans="1:19" s="250" customFormat="1" ht="60.75" thickBot="1" x14ac:dyDescent="0.3">
      <c r="A8" s="273" t="s">
        <v>82</v>
      </c>
      <c r="B8" s="272" t="s">
        <v>64</v>
      </c>
      <c r="C8" s="274" t="s">
        <v>244</v>
      </c>
      <c r="D8" s="274" t="s">
        <v>245</v>
      </c>
      <c r="E8" s="274" t="s">
        <v>246</v>
      </c>
      <c r="F8" s="272" t="s">
        <v>247</v>
      </c>
      <c r="G8" s="274" t="s">
        <v>248</v>
      </c>
      <c r="H8" s="273" t="s">
        <v>249</v>
      </c>
      <c r="I8" s="274" t="s">
        <v>250</v>
      </c>
      <c r="J8" s="274" t="s">
        <v>251</v>
      </c>
      <c r="K8"/>
      <c r="L8" s="274" t="s">
        <v>64</v>
      </c>
      <c r="M8" s="274" t="s">
        <v>252</v>
      </c>
      <c r="N8" s="274" t="s">
        <v>253</v>
      </c>
      <c r="O8" s="389" t="s">
        <v>244</v>
      </c>
      <c r="P8" s="249" t="s">
        <v>254</v>
      </c>
      <c r="Q8" s="249" t="s">
        <v>255</v>
      </c>
      <c r="R8" s="271" t="s">
        <v>256</v>
      </c>
    </row>
    <row r="9" spans="1:19" x14ac:dyDescent="0.25">
      <c r="A9" s="278" t="s">
        <v>70</v>
      </c>
      <c r="B9" s="257" t="s">
        <v>380</v>
      </c>
      <c r="C9" s="258">
        <f>VLOOKUP($A9,'CWD Weights'!$B$5:$L$13,2,FALSE)</f>
        <v>531334.7699999999</v>
      </c>
      <c r="D9" s="258">
        <f>VLOOKUP($A9,'CWD Weights'!$B$5:$L$13,10,FALSE)</f>
        <v>465.41165826721056</v>
      </c>
      <c r="E9" s="396">
        <f>VLOOKUP($A9,'CWD Weights'!$B$5:$L$13,11,FALSE)</f>
        <v>8.9745314360774216E-3</v>
      </c>
      <c r="F9" s="402">
        <f>E9*$D$3*$E$3</f>
        <v>2.038407761404855</v>
      </c>
      <c r="G9" s="403">
        <f>IF(C9=0,"n.a.",F9*10^6/C9)</f>
        <v>3.8363906834195234</v>
      </c>
      <c r="H9" s="679" t="str">
        <f>B11</f>
        <v>Entry cluster</v>
      </c>
      <c r="I9" s="679">
        <f>D3*E3</f>
        <v>227.13249999999999</v>
      </c>
      <c r="J9" s="682">
        <f>I9/SUM(C9:C17)*10^6</f>
        <v>2.0735900117632298</v>
      </c>
      <c r="L9" s="420" t="str">
        <f>B9</f>
        <v>Entry cluster</v>
      </c>
      <c r="M9" s="421">
        <v>0</v>
      </c>
      <c r="N9" s="422">
        <f>J9*(1-M9)</f>
        <v>2.0735900117632298</v>
      </c>
      <c r="O9" s="258">
        <f>SUM(CAA!P7:P10,CAA!P13,CAA!P15)*1000</f>
        <v>96947324</v>
      </c>
      <c r="P9" s="685">
        <f>(SUMPRODUCT(N9:N11,O9:O11)/10^6)</f>
        <v>208.28553364089092</v>
      </c>
      <c r="Q9" s="423">
        <f>N9*D3*E3/P9</f>
        <v>2.2612212913395937</v>
      </c>
      <c r="R9" s="685">
        <f>(SUMPRODUCT(Q9:Q11,O9:O11)/10^6)</f>
        <v>227.13249999999999</v>
      </c>
      <c r="S9" s="283"/>
    </row>
    <row r="10" spans="1:19" x14ac:dyDescent="0.25">
      <c r="A10" s="404" t="s">
        <v>72</v>
      </c>
      <c r="B10" s="183" t="s">
        <v>380</v>
      </c>
      <c r="C10" s="252">
        <f>VLOOKUP(A10,'CWD Weights'!$B$5:$L$13,2,FALSE)</f>
        <v>81872004.269999996</v>
      </c>
      <c r="D10" s="252">
        <f>VLOOKUP($A10,'CWD Weights'!$B$5:$L$13,10,FALSE)</f>
        <v>220.17574338281435</v>
      </c>
      <c r="E10" s="397">
        <f>VLOOKUP($A10,'CWD Weights'!$B$5:$L$13,11,FALSE)</f>
        <v>0.65420096777429182</v>
      </c>
      <c r="F10" s="398">
        <f t="shared" ref="F10:F17" si="0">E10*$D$3*$E$3</f>
        <v>148.59030131299434</v>
      </c>
      <c r="G10" s="399">
        <f t="shared" ref="G10:G17" si="1">IF(C10=0,"n.a.",F10*10^6/C10)</f>
        <v>1.8149097806738517</v>
      </c>
      <c r="H10" s="680"/>
      <c r="I10" s="680"/>
      <c r="J10" s="683"/>
      <c r="L10" s="426" t="str">
        <f>B9&amp;" DZK"</f>
        <v>Entry cluster DZK</v>
      </c>
      <c r="M10" s="417">
        <f>G3</f>
        <v>0.1</v>
      </c>
      <c r="N10" s="418">
        <f>J9*(1-M10)</f>
        <v>1.8662310105869069</v>
      </c>
      <c r="O10" s="252">
        <f>SUM(C9:C17)-O9-O11</f>
        <v>3888334.7699999958</v>
      </c>
      <c r="P10" s="686"/>
      <c r="Q10" s="419">
        <f>N10*D3*E3/P9</f>
        <v>2.0350991622056345</v>
      </c>
      <c r="R10" s="686"/>
      <c r="S10" s="283"/>
    </row>
    <row r="11" spans="1:19" ht="15.75" thickBot="1" x14ac:dyDescent="0.3">
      <c r="A11" s="251" t="s">
        <v>110</v>
      </c>
      <c r="B11" s="183" t="s">
        <v>380</v>
      </c>
      <c r="C11" s="252">
        <f>VLOOKUP(A11,'CWD Weights'!$B$5:$L$13,2,FALSE)</f>
        <v>0</v>
      </c>
      <c r="D11" s="252">
        <f>VLOOKUP($A11,'CWD Weights'!$B$5:$L$13,10,FALSE)</f>
        <v>261.56764428386987</v>
      </c>
      <c r="E11" s="397">
        <f>VLOOKUP($A11,'CWD Weights'!$B$5:$L$13,11,FALSE)</f>
        <v>0</v>
      </c>
      <c r="F11" s="398">
        <f t="shared" si="0"/>
        <v>0</v>
      </c>
      <c r="G11" s="399" t="str">
        <f t="shared" si="1"/>
        <v>n.a.</v>
      </c>
      <c r="H11" s="680"/>
      <c r="I11" s="680"/>
      <c r="J11" s="683"/>
      <c r="L11" s="427" t="s">
        <v>378</v>
      </c>
      <c r="M11" s="428">
        <f>H3</f>
        <v>1</v>
      </c>
      <c r="N11" s="424">
        <f>J10*(1-M11)</f>
        <v>0</v>
      </c>
      <c r="O11" s="254">
        <f>SUM(CAA!P11:P12)*1000</f>
        <v>8700218</v>
      </c>
      <c r="P11" s="687"/>
      <c r="Q11" s="425">
        <v>0</v>
      </c>
      <c r="R11" s="687"/>
      <c r="S11" s="55"/>
    </row>
    <row r="12" spans="1:19" x14ac:dyDescent="0.25">
      <c r="A12" s="251" t="s">
        <v>87</v>
      </c>
      <c r="B12" s="183" t="s">
        <v>380</v>
      </c>
      <c r="C12" s="252">
        <f>VLOOKUP(A12,'CWD Weights'!$B$5:$L$13,2,FALSE)</f>
        <v>0</v>
      </c>
      <c r="D12" s="252">
        <f>VLOOKUP($A12,'CWD Weights'!$B$5:$L$13,10,FALSE)</f>
        <v>275.44369854356694</v>
      </c>
      <c r="E12" s="397">
        <f>VLOOKUP($A12,'CWD Weights'!$B$5:$L$13,11,FALSE)</f>
        <v>0</v>
      </c>
      <c r="F12" s="398">
        <f t="shared" si="0"/>
        <v>0</v>
      </c>
      <c r="G12" s="399" t="str">
        <f t="shared" si="1"/>
        <v>n.a.</v>
      </c>
      <c r="H12" s="680"/>
      <c r="I12" s="680"/>
      <c r="J12" s="683"/>
      <c r="L12" s="414"/>
      <c r="M12" s="415"/>
      <c r="N12" s="416"/>
      <c r="O12" s="416"/>
      <c r="P12" s="415"/>
      <c r="Q12" s="416"/>
      <c r="R12" s="415"/>
      <c r="S12" s="55"/>
    </row>
    <row r="13" spans="1:19" x14ac:dyDescent="0.25">
      <c r="A13" s="251" t="s">
        <v>73</v>
      </c>
      <c r="B13" s="183" t="s">
        <v>380</v>
      </c>
      <c r="C13" s="252">
        <f>VLOOKUP(A13,'CWD Weights'!$B$5:$L$13,2,FALSE)</f>
        <v>9651005.7300000004</v>
      </c>
      <c r="D13" s="252">
        <f>VLOOKUP($A13,'CWD Weights'!$B$5:$L$13,10,FALSE)</f>
        <v>356.37604530949886</v>
      </c>
      <c r="E13" s="397">
        <f>VLOOKUP($A13,'CWD Weights'!$B$5:$L$13,11,FALSE)</f>
        <v>0.12482091627440745</v>
      </c>
      <c r="F13" s="398">
        <f t="shared" si="0"/>
        <v>28.350886765696849</v>
      </c>
      <c r="G13" s="399">
        <f t="shared" si="1"/>
        <v>2.9376095672152136</v>
      </c>
      <c r="H13" s="680"/>
      <c r="I13" s="680"/>
      <c r="J13" s="683"/>
    </row>
    <row r="14" spans="1:19" ht="13.7" customHeight="1" x14ac:dyDescent="0.25">
      <c r="A14" s="261" t="s">
        <v>139</v>
      </c>
      <c r="B14" s="183" t="s">
        <v>380</v>
      </c>
      <c r="C14" s="252">
        <f>VLOOKUP(A14,'CWD Weights'!$B$5:$L$13,2,FALSE)</f>
        <v>2950825</v>
      </c>
      <c r="D14" s="252">
        <f>VLOOKUP($A14,'CWD Weights'!$B$5:$L$13,10,FALSE)</f>
        <v>434.65296931174618</v>
      </c>
      <c r="E14" s="397">
        <f>VLOOKUP($A14,'CWD Weights'!$B$5:$L$13,11,FALSE)</f>
        <v>4.654707483162604E-2</v>
      </c>
      <c r="F14" s="398">
        <f t="shared" si="0"/>
        <v>10.572353474194301</v>
      </c>
      <c r="G14" s="399">
        <f t="shared" si="1"/>
        <v>3.5828466527816123</v>
      </c>
      <c r="H14" s="680"/>
      <c r="I14" s="680"/>
      <c r="J14" s="683"/>
    </row>
    <row r="15" spans="1:19" s="283" customFormat="1" ht="13.7" customHeight="1" x14ac:dyDescent="0.25">
      <c r="A15" s="261" t="s">
        <v>75</v>
      </c>
      <c r="B15" s="183" t="s">
        <v>380</v>
      </c>
      <c r="C15" s="252">
        <f>VLOOKUP(A15,'CWD Weights'!$B$5:$L$13,2,FALSE)</f>
        <v>5749393</v>
      </c>
      <c r="D15" s="252">
        <f>VLOOKUP($A15,'CWD Weights'!$B$5:$L$13,10,FALSE)</f>
        <v>221.62402618444469</v>
      </c>
      <c r="E15" s="397">
        <f>VLOOKUP($A15,'CWD Weights'!$B$5:$L$13,11,FALSE)</f>
        <v>4.6242906703493201E-2</v>
      </c>
      <c r="F15" s="398">
        <f>E15*$D$3*$E$3</f>
        <v>10.50326700683117</v>
      </c>
      <c r="G15" s="399">
        <f>IF(C15=0,"n.a.",F15*10^6/C15)</f>
        <v>1.8268479832273024</v>
      </c>
      <c r="H15" s="680"/>
      <c r="I15" s="680"/>
      <c r="J15" s="683"/>
      <c r="K15"/>
    </row>
    <row r="16" spans="1:19" s="283" customFormat="1" ht="13.7" customHeight="1" x14ac:dyDescent="0.25">
      <c r="A16" s="261" t="s">
        <v>74</v>
      </c>
      <c r="B16" s="183" t="s">
        <v>380</v>
      </c>
      <c r="C16" s="252">
        <f>VLOOKUP(A16,'CWD Weights'!$B$5:$L$13,2,FALSE)</f>
        <v>4750155</v>
      </c>
      <c r="D16" s="252">
        <f>VLOOKUP($A16,'CWD Weights'!$B$5:$L$13,10,FALSE)</f>
        <v>452.54399909510931</v>
      </c>
      <c r="E16" s="397">
        <f>VLOOKUP($A16,'CWD Weights'!$B$5:$L$13,11,FALSE)</f>
        <v>7.80144192881429E-2</v>
      </c>
      <c r="F16" s="398">
        <f t="shared" si="0"/>
        <v>17.719610088964117</v>
      </c>
      <c r="G16" s="399">
        <f t="shared" si="1"/>
        <v>3.7303225029423492</v>
      </c>
      <c r="H16" s="680"/>
      <c r="I16" s="680"/>
      <c r="J16" s="683"/>
      <c r="K16"/>
    </row>
    <row r="17" spans="1:18" s="283" customFormat="1" ht="13.7" customHeight="1" thickBot="1" x14ac:dyDescent="0.3">
      <c r="A17" s="260" t="s">
        <v>89</v>
      </c>
      <c r="B17" s="253" t="s">
        <v>380</v>
      </c>
      <c r="C17" s="254">
        <f>VLOOKUP(A17,'CWD Weights'!$B$5:$L$13,2,FALSE)</f>
        <v>4031159</v>
      </c>
      <c r="D17" s="254">
        <f>VLOOKUP($A17,'CWD Weights'!$B$5:$L$13,10,FALSE)</f>
        <v>281.61280230906669</v>
      </c>
      <c r="E17" s="405">
        <f>VLOOKUP($A17,'CWD Weights'!$B$5:$L$13,11,FALSE)</f>
        <v>4.1199183691961204E-2</v>
      </c>
      <c r="F17" s="406">
        <f t="shared" si="0"/>
        <v>9.357673589914377</v>
      </c>
      <c r="G17" s="407">
        <f t="shared" si="1"/>
        <v>2.3213357721475085</v>
      </c>
      <c r="H17" s="681"/>
      <c r="I17" s="681"/>
      <c r="J17" s="684"/>
      <c r="K17"/>
    </row>
    <row r="18" spans="1:18" s="283" customFormat="1" ht="13.7" customHeight="1" x14ac:dyDescent="0.25">
      <c r="K18"/>
    </row>
    <row r="19" spans="1:18" ht="15.75" x14ac:dyDescent="0.25">
      <c r="A19" s="248" t="s">
        <v>83</v>
      </c>
      <c r="P19" s="255"/>
      <c r="Q19" s="255"/>
      <c r="R19" s="256"/>
    </row>
    <row r="20" spans="1:18" x14ac:dyDescent="0.25">
      <c r="P20" s="255"/>
      <c r="Q20" s="255"/>
      <c r="R20" s="256"/>
    </row>
    <row r="21" spans="1:18" ht="60.75" thickBot="1" x14ac:dyDescent="0.3">
      <c r="A21" s="273" t="s">
        <v>82</v>
      </c>
      <c r="B21" s="272" t="s">
        <v>64</v>
      </c>
      <c r="C21" s="274" t="s">
        <v>244</v>
      </c>
      <c r="D21" s="274" t="s">
        <v>245</v>
      </c>
      <c r="E21" s="274" t="s">
        <v>246</v>
      </c>
      <c r="F21" s="274" t="s">
        <v>247</v>
      </c>
      <c r="G21" s="274" t="s">
        <v>248</v>
      </c>
      <c r="H21" s="274" t="s">
        <v>249</v>
      </c>
      <c r="I21" s="274" t="s">
        <v>250</v>
      </c>
      <c r="J21" s="274" t="s">
        <v>251</v>
      </c>
      <c r="L21" s="274" t="s">
        <v>64</v>
      </c>
      <c r="M21" s="274" t="s">
        <v>252</v>
      </c>
      <c r="N21" s="274" t="s">
        <v>253</v>
      </c>
      <c r="O21" s="389" t="s">
        <v>244</v>
      </c>
      <c r="P21" s="249" t="s">
        <v>254</v>
      </c>
      <c r="Q21" s="249" t="s">
        <v>255</v>
      </c>
      <c r="R21" s="271" t="s">
        <v>256</v>
      </c>
    </row>
    <row r="22" spans="1:18" x14ac:dyDescent="0.25">
      <c r="A22" s="259" t="s">
        <v>91</v>
      </c>
      <c r="B22" s="257" t="str">
        <f>A22</f>
        <v>Exit East</v>
      </c>
      <c r="C22" s="258">
        <f>HLOOKUP($A22,'CWD Weights'!$D$3:$J$15,2,FALSE)</f>
        <v>11814771.27</v>
      </c>
      <c r="D22" s="258">
        <f>HLOOKUP($A22,'CWD Weights'!$D$3:$J$15,12,FALSE)</f>
        <v>71.51385677444766</v>
      </c>
      <c r="E22" s="396">
        <f>HLOOKUP($A22,'CWD Weights'!$D$3:$J$15,13,FALSE)</f>
        <v>2.6580977830209299E-2</v>
      </c>
      <c r="F22" s="402">
        <f>E22*$D$3*$F$3</f>
        <v>6.0374039470200138</v>
      </c>
      <c r="G22" s="403">
        <f>IF(C22=0,"n.a.",F22*10^6/C22)</f>
        <v>0.51100472527556717</v>
      </c>
      <c r="H22" s="408" t="str">
        <f>B22</f>
        <v>Exit East</v>
      </c>
      <c r="I22" s="409">
        <f>F22</f>
        <v>6.0374039470200138</v>
      </c>
      <c r="J22" s="387">
        <f>I22*10^6/C22</f>
        <v>0.51100472527556717</v>
      </c>
      <c r="L22" s="433" t="str">
        <f>A22</f>
        <v>Exit East</v>
      </c>
      <c r="M22" s="434">
        <v>0</v>
      </c>
      <c r="N22" s="435">
        <f>J22*(1-M22)</f>
        <v>0.51100472527556717</v>
      </c>
      <c r="O22" s="258">
        <f>C22</f>
        <v>11814771.27</v>
      </c>
      <c r="P22" s="671">
        <f>SUMPRODUCT(N22:N30,O22:O30)/10^6</f>
        <v>221.2594866254021</v>
      </c>
      <c r="Q22" s="436">
        <f>N22*$D$3*$F$3/$P$22</f>
        <v>0.52456860735718447</v>
      </c>
      <c r="R22" s="674">
        <f>SUMPRODUCT(Q22:Q30,O22:O30)/10^6</f>
        <v>227.13249999999999</v>
      </c>
    </row>
    <row r="23" spans="1:18" x14ac:dyDescent="0.25">
      <c r="A23" s="261" t="s">
        <v>92</v>
      </c>
      <c r="B23" s="183" t="str">
        <f t="shared" ref="B23:B28" si="2">A23</f>
        <v>Exit West</v>
      </c>
      <c r="C23" s="252">
        <f>HLOOKUP($A23,'CWD Weights'!$D$3:$J$15,2,FALSE)</f>
        <v>22394379.150000002</v>
      </c>
      <c r="D23" s="252">
        <f>HLOOKUP($A23,'CWD Weights'!$D$3:$J$15,12,FALSE)</f>
        <v>236.8166641355206</v>
      </c>
      <c r="E23" s="397">
        <f>HLOOKUP($A23,'CWD Weights'!$D$3:$J$15,13,FALSE)</f>
        <v>0.1668425122362929</v>
      </c>
      <c r="F23" s="398">
        <f t="shared" ref="F23:F28" si="3">E23*$D$3*$F$3</f>
        <v>37.895356910509797</v>
      </c>
      <c r="G23" s="399">
        <f t="shared" ref="G23:G28" si="4">IF(C23=0,"n.a.",F23*10^6/C23)</f>
        <v>1.6921816254285305</v>
      </c>
      <c r="H23" s="400" t="str">
        <f t="shared" ref="H23:H28" si="5">B23</f>
        <v>Exit West</v>
      </c>
      <c r="I23" s="401">
        <f t="shared" ref="I23:I28" si="6">F23</f>
        <v>37.895356910509797</v>
      </c>
      <c r="J23" s="410">
        <f t="shared" ref="J23:J28" si="7">I23*10^6/C23</f>
        <v>1.6921816254285305</v>
      </c>
      <c r="L23" s="437" t="str">
        <f t="shared" ref="L23:L28" si="8">A23</f>
        <v>Exit West</v>
      </c>
      <c r="M23" s="429">
        <v>0</v>
      </c>
      <c r="N23" s="430">
        <f t="shared" ref="N23:N28" si="9">J23*(1-M23)</f>
        <v>1.6921816254285305</v>
      </c>
      <c r="O23" s="252">
        <f>CAA!F16*1000</f>
        <v>15925865.369999999</v>
      </c>
      <c r="P23" s="672"/>
      <c r="Q23" s="432">
        <f t="shared" ref="Q23:Q30" si="10">N23*$D$3*$F$3/$P$22</f>
        <v>1.7370981416419853</v>
      </c>
      <c r="R23" s="675"/>
    </row>
    <row r="24" spans="1:18" x14ac:dyDescent="0.25">
      <c r="A24" s="261" t="s">
        <v>97</v>
      </c>
      <c r="B24" s="183" t="str">
        <f t="shared" si="2"/>
        <v>Exit Arnoldstein</v>
      </c>
      <c r="C24" s="252">
        <f>HLOOKUP($A24,'CWD Weights'!$D$3:$J$15,2,FALSE)</f>
        <v>48558893.100000009</v>
      </c>
      <c r="D24" s="252">
        <f>HLOOKUP($A24,'CWD Weights'!$D$3:$J$15,12,FALSE)</f>
        <v>426.85331763278953</v>
      </c>
      <c r="E24" s="397">
        <f>HLOOKUP($A24,'CWD Weights'!$D$3:$J$15,13,FALSE)</f>
        <v>0.65208299415526993</v>
      </c>
      <c r="F24" s="398">
        <f t="shared" si="3"/>
        <v>148.10924066997185</v>
      </c>
      <c r="G24" s="399">
        <f t="shared" si="4"/>
        <v>3.0500950745512738</v>
      </c>
      <c r="H24" s="400" t="str">
        <f t="shared" si="5"/>
        <v>Exit Arnoldstein</v>
      </c>
      <c r="I24" s="401">
        <f t="shared" si="6"/>
        <v>148.10924066997185</v>
      </c>
      <c r="J24" s="410">
        <f t="shared" si="7"/>
        <v>3.0500950745512738</v>
      </c>
      <c r="L24" s="437" t="str">
        <f t="shared" si="8"/>
        <v>Exit Arnoldstein</v>
      </c>
      <c r="M24" s="429">
        <v>0</v>
      </c>
      <c r="N24" s="430">
        <f t="shared" si="9"/>
        <v>3.0500950745512738</v>
      </c>
      <c r="O24" s="252">
        <f t="shared" ref="O24:O27" si="11">C24</f>
        <v>48558893.100000009</v>
      </c>
      <c r="P24" s="672"/>
      <c r="Q24" s="432">
        <f t="shared" si="10"/>
        <v>3.1310554412222964</v>
      </c>
      <c r="R24" s="675"/>
    </row>
    <row r="25" spans="1:18" x14ac:dyDescent="0.25">
      <c r="A25" s="261" t="s">
        <v>93</v>
      </c>
      <c r="B25" s="183" t="str">
        <f t="shared" si="2"/>
        <v>Exit Murfeld</v>
      </c>
      <c r="C25" s="252">
        <f>HLOOKUP($A25,'CWD Weights'!$D$3:$J$15,2,FALSE)</f>
        <v>3382423.6799999997</v>
      </c>
      <c r="D25" s="252">
        <f>HLOOKUP($A25,'CWD Weights'!$D$3:$J$15,12,FALSE)</f>
        <v>282.84631571367328</v>
      </c>
      <c r="E25" s="397">
        <f>HLOOKUP($A25,'CWD Weights'!$D$3:$J$15,13,FALSE)</f>
        <v>3.0097745584120393E-2</v>
      </c>
      <c r="F25" s="398">
        <f t="shared" si="3"/>
        <v>6.8361761988852248</v>
      </c>
      <c r="G25" s="399">
        <f t="shared" si="4"/>
        <v>2.0210880852410615</v>
      </c>
      <c r="H25" s="400" t="str">
        <f t="shared" si="5"/>
        <v>Exit Murfeld</v>
      </c>
      <c r="I25" s="401">
        <f t="shared" si="6"/>
        <v>6.8361761988852248</v>
      </c>
      <c r="J25" s="410">
        <f t="shared" si="7"/>
        <v>2.0210880852410615</v>
      </c>
      <c r="L25" s="437" t="str">
        <f t="shared" si="8"/>
        <v>Exit Murfeld</v>
      </c>
      <c r="M25" s="429">
        <v>0</v>
      </c>
      <c r="N25" s="430">
        <f t="shared" si="9"/>
        <v>2.0210880852410615</v>
      </c>
      <c r="O25" s="252">
        <f t="shared" si="11"/>
        <v>3382423.6799999997</v>
      </c>
      <c r="P25" s="672"/>
      <c r="Q25" s="431">
        <f t="shared" si="10"/>
        <v>2.0747349481932349</v>
      </c>
      <c r="R25" s="675"/>
    </row>
    <row r="26" spans="1:18" x14ac:dyDescent="0.25">
      <c r="A26" s="261" t="s">
        <v>96</v>
      </c>
      <c r="B26" s="183" t="str">
        <f t="shared" si="2"/>
        <v>Exit Storage</v>
      </c>
      <c r="C26" s="252">
        <f>HLOOKUP($A26,'CWD Weights'!$D$3:$J$15,2,FALSE)</f>
        <v>8700218</v>
      </c>
      <c r="D26" s="252">
        <f>HLOOKUP($A26,'CWD Weights'!$D$3:$J$15,12,FALSE)</f>
        <v>140.89476277678909</v>
      </c>
      <c r="E26" s="397">
        <f>HLOOKUP($A26,'CWD Weights'!$D$3:$J$15,13,FALSE)</f>
        <v>3.8563853075961774E-2</v>
      </c>
      <c r="F26" s="398">
        <f t="shared" si="3"/>
        <v>8.7591043587758879</v>
      </c>
      <c r="G26" s="399">
        <f t="shared" si="4"/>
        <v>1.0067683773873124</v>
      </c>
      <c r="H26" s="400" t="str">
        <f t="shared" si="5"/>
        <v>Exit Storage</v>
      </c>
      <c r="I26" s="401">
        <f t="shared" si="6"/>
        <v>8.7591043587758879</v>
      </c>
      <c r="J26" s="410">
        <f t="shared" si="7"/>
        <v>1.0067683773873124</v>
      </c>
      <c r="L26" s="437" t="str">
        <f t="shared" si="8"/>
        <v>Exit Storage</v>
      </c>
      <c r="M26" s="429">
        <f>I3</f>
        <v>0.5</v>
      </c>
      <c r="N26" s="430">
        <f t="shared" si="9"/>
        <v>0.5033841886936562</v>
      </c>
      <c r="O26" s="252">
        <f t="shared" si="11"/>
        <v>8700218</v>
      </c>
      <c r="P26" s="672"/>
      <c r="Q26" s="431">
        <f t="shared" si="10"/>
        <v>0.51674579464262138</v>
      </c>
      <c r="R26" s="675"/>
    </row>
    <row r="27" spans="1:18" x14ac:dyDescent="0.25">
      <c r="A27" s="261" t="s">
        <v>98</v>
      </c>
      <c r="B27" s="183" t="str">
        <f t="shared" si="2"/>
        <v>Exit VG-Kärnten</v>
      </c>
      <c r="C27" s="252">
        <f>HLOOKUP($A27,'CWD Weights'!$D$3:$J$15,2,FALSE)</f>
        <v>471871</v>
      </c>
      <c r="D27" s="252">
        <f>HLOOKUP($A27,'CWD Weights'!$D$3:$J$15,12,FALSE)</f>
        <v>381.79376949949386</v>
      </c>
      <c r="E27" s="397">
        <f>HLOOKUP($A27,'CWD Weights'!$D$3:$J$15,13,FALSE)</f>
        <v>5.6677091960728905E-3</v>
      </c>
      <c r="F27" s="398">
        <f t="shared" si="3"/>
        <v>1.2873209589770258</v>
      </c>
      <c r="G27" s="399">
        <f t="shared" si="4"/>
        <v>2.7281205222974618</v>
      </c>
      <c r="H27" s="400" t="str">
        <f t="shared" si="5"/>
        <v>Exit VG-Kärnten</v>
      </c>
      <c r="I27" s="401">
        <f t="shared" si="6"/>
        <v>1.2873209589770258</v>
      </c>
      <c r="J27" s="410">
        <f t="shared" si="7"/>
        <v>2.7281205222974618</v>
      </c>
      <c r="L27" s="437" t="str">
        <f t="shared" si="8"/>
        <v>Exit VG-Kärnten</v>
      </c>
      <c r="M27" s="429">
        <v>0</v>
      </c>
      <c r="N27" s="430">
        <f t="shared" si="9"/>
        <v>2.7281205222974618</v>
      </c>
      <c r="O27" s="252">
        <f t="shared" si="11"/>
        <v>471871</v>
      </c>
      <c r="P27" s="672"/>
      <c r="Q27" s="432">
        <f t="shared" si="10"/>
        <v>2.8005345396999974</v>
      </c>
      <c r="R27" s="675"/>
    </row>
    <row r="28" spans="1:18" ht="15.75" thickBot="1" x14ac:dyDescent="0.3">
      <c r="A28" s="260" t="s">
        <v>94</v>
      </c>
      <c r="B28" s="253" t="str">
        <f t="shared" si="2"/>
        <v>Exit VG1</v>
      </c>
      <c r="C28" s="254">
        <f>HLOOKUP($A28,'CWD Weights'!$D$3:$J$15,2,FALSE)</f>
        <v>32019236.456849314</v>
      </c>
      <c r="D28" s="254">
        <f>HLOOKUP($A28,'CWD Weights'!$D$3:$J$15,12,FALSE)</f>
        <v>79.581862659909078</v>
      </c>
      <c r="E28" s="405">
        <f>HLOOKUP($A28,'CWD Weights'!$D$3:$J$15,13,FALSE)</f>
        <v>8.0164207922072905E-2</v>
      </c>
      <c r="F28" s="406">
        <f t="shared" si="3"/>
        <v>18.207896955860225</v>
      </c>
      <c r="G28" s="407">
        <f t="shared" si="4"/>
        <v>0.56865493905196873</v>
      </c>
      <c r="H28" s="411" t="str">
        <f t="shared" si="5"/>
        <v>Exit VG1</v>
      </c>
      <c r="I28" s="412">
        <f t="shared" si="6"/>
        <v>18.207896955860225</v>
      </c>
      <c r="J28" s="413">
        <f t="shared" si="7"/>
        <v>0.56865493905196873</v>
      </c>
      <c r="L28" s="437" t="str">
        <f t="shared" si="8"/>
        <v>Exit VG1</v>
      </c>
      <c r="M28" s="429">
        <v>0</v>
      </c>
      <c r="N28" s="430">
        <f t="shared" si="9"/>
        <v>0.56865493905196873</v>
      </c>
      <c r="O28" s="252">
        <f>CAA!L16*1000</f>
        <v>25004944.456849314</v>
      </c>
      <c r="P28" s="672"/>
      <c r="Q28" s="432">
        <f t="shared" si="10"/>
        <v>0.58374906275947602</v>
      </c>
      <c r="R28" s="675"/>
    </row>
    <row r="29" spans="1:18" x14ac:dyDescent="0.25">
      <c r="L29" s="261" t="s">
        <v>257</v>
      </c>
      <c r="M29" s="429">
        <f>G3</f>
        <v>0.1</v>
      </c>
      <c r="N29" s="430">
        <f>J23*(1-M29)</f>
        <v>1.5229634628856774</v>
      </c>
      <c r="O29" s="252">
        <f>C23-O23</f>
        <v>6468513.7800000031</v>
      </c>
      <c r="P29" s="672"/>
      <c r="Q29" s="432">
        <f t="shared" si="10"/>
        <v>1.5633883274777867</v>
      </c>
      <c r="R29" s="675"/>
    </row>
    <row r="30" spans="1:18" ht="15.75" thickBot="1" x14ac:dyDescent="0.3">
      <c r="L30" s="260" t="s">
        <v>379</v>
      </c>
      <c r="M30" s="438">
        <f>G3</f>
        <v>0.1</v>
      </c>
      <c r="N30" s="439">
        <f>J28*(1-M30)</f>
        <v>0.51178944514677183</v>
      </c>
      <c r="O30" s="254">
        <f>C28-O28</f>
        <v>7014292</v>
      </c>
      <c r="P30" s="673"/>
      <c r="Q30" s="460">
        <f t="shared" si="10"/>
        <v>0.52537415648352837</v>
      </c>
      <c r="R30" s="676"/>
    </row>
  </sheetData>
  <mergeCells count="8">
    <mergeCell ref="P22:P30"/>
    <mergeCell ref="R22:R30"/>
    <mergeCell ref="E2:F2"/>
    <mergeCell ref="H9:H17"/>
    <mergeCell ref="I9:I17"/>
    <mergeCell ref="J9:J17"/>
    <mergeCell ref="P9:P11"/>
    <mergeCell ref="R9:R11"/>
  </mergeCells>
  <dataValidations count="1">
    <dataValidation type="list" allowBlank="1" showInputMessage="1" showErrorMessage="1" sqref="G4:G5" xr:uid="{00000000-0002-0000-0F00-000000000000}">
      <formula1>"yes,no"</formula1>
    </dataValidation>
  </dataValidations>
  <pageMargins left="0.7" right="0.7" top="0.78740157499999996" bottom="0.78740157499999996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Tabelle16">
    <tabColor rgb="FFFFFF00"/>
  </sheetPr>
  <dimension ref="A1:A4"/>
  <sheetViews>
    <sheetView workbookViewId="0">
      <selection activeCell="B36" sqref="B36"/>
    </sheetView>
  </sheetViews>
  <sheetFormatPr baseColWidth="10" defaultRowHeight="15" x14ac:dyDescent="0.25"/>
  <cols>
    <col min="1" max="1" width="39.5703125" bestFit="1" customWidth="1"/>
    <col min="2" max="2" width="7.5703125" bestFit="1" customWidth="1"/>
    <col min="3" max="3" width="21.5703125" bestFit="1" customWidth="1"/>
    <col min="4" max="4" width="15.140625" bestFit="1" customWidth="1"/>
    <col min="5" max="5" width="18.42578125" bestFit="1" customWidth="1"/>
    <col min="6" max="6" width="25" bestFit="1" customWidth="1"/>
    <col min="7" max="7" width="17" bestFit="1" customWidth="1"/>
    <col min="8" max="8" width="13" bestFit="1" customWidth="1"/>
  </cols>
  <sheetData>
    <row r="1" spans="1:1" x14ac:dyDescent="0.25">
      <c r="A1" s="43"/>
    </row>
    <row r="2" spans="1:1" x14ac:dyDescent="0.25">
      <c r="A2" s="43"/>
    </row>
    <row r="3" spans="1:1" x14ac:dyDescent="0.25">
      <c r="A3" s="43"/>
    </row>
    <row r="4" spans="1:1" x14ac:dyDescent="0.25">
      <c r="A4" s="43"/>
    </row>
  </sheetData>
  <pageMargins left="0.7" right="0.7" top="0.78740157499999996" bottom="0.78740157499999996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17">
    <tabColor rgb="FFFFFF99"/>
  </sheetPr>
  <dimension ref="B1:K14"/>
  <sheetViews>
    <sheetView zoomScale="85" zoomScaleNormal="85" workbookViewId="0">
      <selection activeCell="B36" sqref="B36"/>
    </sheetView>
  </sheetViews>
  <sheetFormatPr baseColWidth="10" defaultRowHeight="15" x14ac:dyDescent="0.25"/>
  <cols>
    <col min="2" max="2" width="32.7109375" bestFit="1" customWidth="1"/>
    <col min="3" max="7" width="12.42578125" customWidth="1"/>
    <col min="8" max="8" width="11.5703125" bestFit="1" customWidth="1"/>
    <col min="10" max="10" width="14.140625" bestFit="1" customWidth="1"/>
    <col min="11" max="11" width="12.140625" bestFit="1" customWidth="1"/>
  </cols>
  <sheetData>
    <row r="1" spans="2:11" x14ac:dyDescent="0.25">
      <c r="D1" s="43"/>
      <c r="E1" s="43"/>
      <c r="F1" s="43"/>
      <c r="G1" s="43"/>
      <c r="H1" s="43"/>
    </row>
    <row r="2" spans="2:11" ht="15.75" thickBot="1" x14ac:dyDescent="0.3">
      <c r="C2" s="43"/>
      <c r="D2" s="381"/>
      <c r="E2" s="381"/>
      <c r="F2" s="381"/>
      <c r="G2" s="381"/>
      <c r="H2" s="381"/>
    </row>
    <row r="3" spans="2:11" ht="17.25" thickBot="1" x14ac:dyDescent="0.35">
      <c r="B3" s="1" t="s">
        <v>370</v>
      </c>
      <c r="C3" s="384">
        <f>Costs!C4</f>
        <v>141996100</v>
      </c>
      <c r="D3" s="382"/>
      <c r="E3" s="382"/>
      <c r="F3" s="382"/>
      <c r="G3" s="382"/>
      <c r="H3" s="382"/>
    </row>
    <row r="4" spans="2:11" ht="17.25" thickBot="1" x14ac:dyDescent="0.35">
      <c r="B4" s="1" t="s">
        <v>371</v>
      </c>
      <c r="C4" s="384">
        <f>Costs!C5</f>
        <v>10636400</v>
      </c>
      <c r="D4" s="382"/>
      <c r="E4" s="382"/>
      <c r="F4" s="382"/>
      <c r="G4" s="382"/>
      <c r="H4" s="382"/>
    </row>
    <row r="5" spans="2:11" s="283" customFormat="1" ht="17.25" thickBot="1" x14ac:dyDescent="0.35">
      <c r="B5" s="1" t="s">
        <v>372</v>
      </c>
      <c r="C5" s="384">
        <f>Costs!C6</f>
        <v>131359700</v>
      </c>
      <c r="D5" s="382"/>
      <c r="E5" s="382"/>
      <c r="F5" s="382"/>
      <c r="G5" s="382"/>
      <c r="H5" s="382"/>
    </row>
    <row r="6" spans="2:11" ht="15.75" thickBot="1" x14ac:dyDescent="0.3">
      <c r="B6" s="283"/>
      <c r="C6" s="53"/>
      <c r="D6" s="87"/>
      <c r="E6" s="87"/>
      <c r="F6" s="87"/>
      <c r="G6" s="87"/>
      <c r="H6" s="87"/>
    </row>
    <row r="7" spans="2:11" ht="17.25" thickBot="1" x14ac:dyDescent="0.35">
      <c r="B7" s="1" t="s">
        <v>373</v>
      </c>
      <c r="C7" s="384">
        <f>Costs!C7</f>
        <v>312268900</v>
      </c>
      <c r="D7" s="382"/>
      <c r="E7" s="382"/>
      <c r="F7" s="382"/>
      <c r="G7" s="382"/>
      <c r="H7" s="382"/>
      <c r="J7" s="38"/>
    </row>
    <row r="8" spans="2:11" ht="17.25" thickBot="1" x14ac:dyDescent="0.35">
      <c r="B8" s="1" t="s">
        <v>374</v>
      </c>
      <c r="C8" s="384">
        <f>Costs!C8</f>
        <v>97065300</v>
      </c>
      <c r="D8" s="382"/>
      <c r="E8" s="383"/>
      <c r="F8" s="382"/>
      <c r="G8" s="382"/>
      <c r="H8" s="382"/>
      <c r="J8" s="38"/>
      <c r="K8" s="38"/>
    </row>
    <row r="9" spans="2:11" s="283" customFormat="1" ht="17.25" thickBot="1" x14ac:dyDescent="0.35">
      <c r="B9" s="1" t="s">
        <v>375</v>
      </c>
      <c r="C9" s="384">
        <f>Costs!C9</f>
        <v>215203600</v>
      </c>
      <c r="D9" s="382"/>
      <c r="E9" s="382"/>
      <c r="F9" s="382"/>
      <c r="G9" s="382"/>
      <c r="H9" s="382"/>
    </row>
    <row r="10" spans="2:11" x14ac:dyDescent="0.25">
      <c r="D10" s="55"/>
      <c r="E10" s="55"/>
      <c r="F10" s="55"/>
      <c r="G10" s="55"/>
      <c r="H10" s="55"/>
    </row>
    <row r="11" spans="2:11" x14ac:dyDescent="0.25">
      <c r="C11" s="38"/>
      <c r="D11" s="87"/>
      <c r="E11" s="87"/>
      <c r="F11" s="87"/>
      <c r="G11" s="87"/>
      <c r="H11" s="87"/>
    </row>
    <row r="13" spans="2:11" x14ac:dyDescent="0.25">
      <c r="B13" s="75"/>
      <c r="C13" s="90"/>
      <c r="D13" s="82"/>
      <c r="F13" s="372"/>
      <c r="G13" s="372"/>
      <c r="H13" s="373"/>
    </row>
    <row r="14" spans="2:11" x14ac:dyDescent="0.25">
      <c r="B14" s="75"/>
      <c r="C14" s="90"/>
      <c r="D14" s="82"/>
      <c r="F14" s="266"/>
    </row>
  </sheetData>
  <pageMargins left="0.7" right="0.7" top="0.78740157499999996" bottom="0.78740157499999996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Tabelle18">
    <tabColor rgb="FFFFFF99"/>
  </sheetPr>
  <dimension ref="A3:P51"/>
  <sheetViews>
    <sheetView zoomScale="85" zoomScaleNormal="85" workbookViewId="0">
      <selection activeCell="B36" sqref="B36"/>
    </sheetView>
  </sheetViews>
  <sheetFormatPr baseColWidth="10" defaultRowHeight="15" x14ac:dyDescent="0.25"/>
  <cols>
    <col min="1" max="1" width="7.42578125" customWidth="1"/>
    <col min="2" max="2" width="9.5703125" customWidth="1"/>
    <col min="3" max="3" width="8.42578125" customWidth="1"/>
    <col min="4" max="4" width="17.42578125" bestFit="1" customWidth="1"/>
    <col min="5" max="5" width="11.5703125" style="53" customWidth="1"/>
    <col min="6" max="6" width="12.42578125" style="53" customWidth="1"/>
    <col min="7" max="7" width="14.140625" style="53" customWidth="1"/>
    <col min="8" max="8" width="3.85546875" customWidth="1"/>
    <col min="10" max="10" width="18" bestFit="1" customWidth="1"/>
    <col min="11" max="12" width="12.5703125" style="53" customWidth="1"/>
    <col min="13" max="15" width="10.85546875" style="53"/>
    <col min="16" max="16" width="12.5703125" style="53" bestFit="1" customWidth="1"/>
  </cols>
  <sheetData>
    <row r="3" spans="1:16" x14ac:dyDescent="0.25">
      <c r="E3" s="483" t="s">
        <v>140</v>
      </c>
      <c r="F3" s="484" t="s">
        <v>141</v>
      </c>
      <c r="G3" s="483" t="s">
        <v>161</v>
      </c>
      <c r="K3" s="488" t="s">
        <v>102</v>
      </c>
      <c r="L3" s="488" t="s">
        <v>101</v>
      </c>
      <c r="M3" s="483" t="s">
        <v>140</v>
      </c>
      <c r="N3" s="483" t="s">
        <v>140</v>
      </c>
      <c r="O3" s="483" t="s">
        <v>128</v>
      </c>
      <c r="P3" s="483" t="s">
        <v>128</v>
      </c>
    </row>
    <row r="4" spans="1:16" ht="60" x14ac:dyDescent="0.25">
      <c r="A4" s="47" t="s">
        <v>79</v>
      </c>
      <c r="B4" s="47" t="s">
        <v>80</v>
      </c>
      <c r="C4" s="47" t="s">
        <v>81</v>
      </c>
      <c r="D4" s="47" t="s">
        <v>82</v>
      </c>
      <c r="E4" s="485" t="s">
        <v>414</v>
      </c>
      <c r="F4" s="486" t="s">
        <v>163</v>
      </c>
      <c r="G4" s="486" t="s">
        <v>413</v>
      </c>
      <c r="I4" s="47" t="s">
        <v>80</v>
      </c>
      <c r="J4" s="47" t="s">
        <v>82</v>
      </c>
      <c r="K4" s="79" t="s">
        <v>146</v>
      </c>
      <c r="L4" s="79" t="s">
        <v>147</v>
      </c>
      <c r="M4" s="79" t="s">
        <v>408</v>
      </c>
      <c r="N4" s="79" t="s">
        <v>409</v>
      </c>
      <c r="O4" s="79" t="s">
        <v>67</v>
      </c>
      <c r="P4" s="79" t="s">
        <v>68</v>
      </c>
    </row>
    <row r="5" spans="1:16" x14ac:dyDescent="0.25">
      <c r="A5" s="43" t="s">
        <v>0</v>
      </c>
      <c r="B5" t="s">
        <v>71</v>
      </c>
      <c r="C5" t="s">
        <v>84</v>
      </c>
      <c r="D5" t="s">
        <v>72</v>
      </c>
      <c r="E5" s="487">
        <v>0.77</v>
      </c>
      <c r="F5" s="89">
        <f t="shared" ref="F5:F28" si="0">G5/GCV/1000</f>
        <v>2165.1669999999999</v>
      </c>
      <c r="G5" s="89">
        <v>24228218.73</v>
      </c>
      <c r="I5" s="43" t="s">
        <v>71</v>
      </c>
      <c r="J5" t="s">
        <v>70</v>
      </c>
      <c r="K5" s="284">
        <v>381.59447</v>
      </c>
      <c r="L5" s="46">
        <v>17377622</v>
      </c>
      <c r="M5" s="284">
        <v>1.3</v>
      </c>
      <c r="N5" s="284">
        <v>0.62</v>
      </c>
    </row>
    <row r="6" spans="1:16" x14ac:dyDescent="0.25">
      <c r="A6" s="43" t="s">
        <v>0</v>
      </c>
      <c r="B6" t="s">
        <v>71</v>
      </c>
      <c r="C6" t="s">
        <v>84</v>
      </c>
      <c r="D6" t="s">
        <v>73</v>
      </c>
      <c r="E6" s="487">
        <v>1.3</v>
      </c>
      <c r="F6" s="89">
        <f t="shared" si="0"/>
        <v>862.4670000000001</v>
      </c>
      <c r="G6" s="89">
        <v>9651005.7300000004</v>
      </c>
      <c r="I6" s="43" t="s">
        <v>71</v>
      </c>
      <c r="J6" t="s">
        <v>72</v>
      </c>
      <c r="K6" s="284">
        <v>0</v>
      </c>
      <c r="L6" s="46">
        <v>96080396</v>
      </c>
      <c r="M6" s="284">
        <v>0.77</v>
      </c>
      <c r="N6" s="284">
        <v>0</v>
      </c>
    </row>
    <row r="7" spans="1:16" x14ac:dyDescent="0.25">
      <c r="A7" s="43" t="s">
        <v>0</v>
      </c>
      <c r="B7" t="s">
        <v>71</v>
      </c>
      <c r="C7" t="s">
        <v>84</v>
      </c>
      <c r="D7" t="s">
        <v>74</v>
      </c>
      <c r="E7" s="487">
        <v>1.3</v>
      </c>
      <c r="F7" s="89">
        <f t="shared" si="0"/>
        <v>124.5</v>
      </c>
      <c r="G7" s="89">
        <v>1393155</v>
      </c>
      <c r="I7" s="43" t="s">
        <v>71</v>
      </c>
      <c r="J7" t="s">
        <v>73</v>
      </c>
      <c r="K7" s="284">
        <v>242</v>
      </c>
      <c r="L7" s="46">
        <v>10349306</v>
      </c>
      <c r="M7" s="284">
        <v>1.3</v>
      </c>
      <c r="N7" s="284">
        <v>0</v>
      </c>
    </row>
    <row r="8" spans="1:16" x14ac:dyDescent="0.25">
      <c r="A8" s="43" t="s">
        <v>0</v>
      </c>
      <c r="B8" t="s">
        <v>71</v>
      </c>
      <c r="C8" t="s">
        <v>84</v>
      </c>
      <c r="D8" s="61" t="s">
        <v>110</v>
      </c>
      <c r="E8" s="487">
        <v>0.77</v>
      </c>
      <c r="F8" s="89">
        <f t="shared" si="0"/>
        <v>0</v>
      </c>
      <c r="G8" s="89">
        <v>0</v>
      </c>
      <c r="I8" s="43" t="s">
        <v>71</v>
      </c>
      <c r="J8" t="s">
        <v>74</v>
      </c>
      <c r="K8" s="284">
        <v>337</v>
      </c>
      <c r="L8" s="46">
        <v>4750155</v>
      </c>
      <c r="M8" s="284">
        <v>1.3</v>
      </c>
      <c r="N8" s="284">
        <v>1.17</v>
      </c>
    </row>
    <row r="9" spans="1:16" x14ac:dyDescent="0.25">
      <c r="A9" s="43" t="s">
        <v>0</v>
      </c>
      <c r="B9" t="s">
        <v>71</v>
      </c>
      <c r="C9" t="s">
        <v>84</v>
      </c>
      <c r="D9" t="s">
        <v>87</v>
      </c>
      <c r="E9" s="487">
        <v>1.1000000000000001</v>
      </c>
      <c r="F9" s="89">
        <f t="shared" si="0"/>
        <v>0</v>
      </c>
      <c r="G9" s="89">
        <v>0</v>
      </c>
      <c r="I9" s="43" t="s">
        <v>71</v>
      </c>
      <c r="J9" t="s">
        <v>75</v>
      </c>
      <c r="K9" s="284">
        <v>2</v>
      </c>
      <c r="L9" s="46">
        <v>7273500</v>
      </c>
      <c r="M9" s="284">
        <v>0</v>
      </c>
      <c r="N9" s="284">
        <v>0</v>
      </c>
    </row>
    <row r="10" spans="1:16" x14ac:dyDescent="0.25">
      <c r="A10" s="43" t="s">
        <v>0</v>
      </c>
      <c r="B10" t="s">
        <v>71</v>
      </c>
      <c r="C10" t="s">
        <v>84</v>
      </c>
      <c r="D10" t="s">
        <v>88</v>
      </c>
      <c r="E10" s="487">
        <v>0.77</v>
      </c>
      <c r="F10" s="89">
        <f t="shared" si="0"/>
        <v>0</v>
      </c>
      <c r="G10" s="89">
        <v>0</v>
      </c>
      <c r="I10" s="43" t="s">
        <v>71</v>
      </c>
      <c r="J10" t="s">
        <v>139</v>
      </c>
      <c r="K10" s="284">
        <v>334</v>
      </c>
      <c r="L10" s="87">
        <f>G26</f>
        <v>2950825</v>
      </c>
      <c r="M10" s="284">
        <v>0</v>
      </c>
      <c r="N10" s="284">
        <v>0</v>
      </c>
    </row>
    <row r="11" spans="1:16" x14ac:dyDescent="0.25">
      <c r="A11" s="43" t="s">
        <v>0</v>
      </c>
      <c r="B11" s="29" t="s">
        <v>83</v>
      </c>
      <c r="C11" t="s">
        <v>84</v>
      </c>
      <c r="D11" t="s">
        <v>72</v>
      </c>
      <c r="E11" s="487">
        <v>1.1200000000000001</v>
      </c>
      <c r="F11" s="89">
        <f t="shared" si="0"/>
        <v>485.83300000000003</v>
      </c>
      <c r="G11" s="89">
        <v>5436471.2699999996</v>
      </c>
      <c r="I11" s="43" t="s">
        <v>71</v>
      </c>
      <c r="J11" s="61" t="s">
        <v>110</v>
      </c>
      <c r="K11" s="284">
        <v>46</v>
      </c>
      <c r="L11" s="46">
        <v>0</v>
      </c>
      <c r="M11" s="284">
        <v>0.77</v>
      </c>
      <c r="N11" s="284">
        <v>0</v>
      </c>
    </row>
    <row r="12" spans="1:16" x14ac:dyDescent="0.25">
      <c r="A12" s="43" t="s">
        <v>0</v>
      </c>
      <c r="B12" s="29" t="s">
        <v>83</v>
      </c>
      <c r="C12" t="s">
        <v>84</v>
      </c>
      <c r="D12" t="s">
        <v>73</v>
      </c>
      <c r="E12" s="487">
        <v>3.44</v>
      </c>
      <c r="F12" s="89">
        <f t="shared" si="0"/>
        <v>1399.4929999999999</v>
      </c>
      <c r="G12" s="89">
        <v>15660326.67</v>
      </c>
      <c r="I12" s="43" t="s">
        <v>71</v>
      </c>
      <c r="J12" t="s">
        <v>87</v>
      </c>
      <c r="K12" s="284">
        <v>238</v>
      </c>
      <c r="L12" s="46">
        <v>0</v>
      </c>
      <c r="M12" s="284">
        <v>1.1000000000000001</v>
      </c>
      <c r="N12" s="284">
        <v>0</v>
      </c>
    </row>
    <row r="13" spans="1:16" x14ac:dyDescent="0.25">
      <c r="A13" s="43" t="s">
        <v>0</v>
      </c>
      <c r="B13" s="29" t="s">
        <v>83</v>
      </c>
      <c r="C13" t="s">
        <v>84</v>
      </c>
      <c r="D13" t="s">
        <v>87</v>
      </c>
      <c r="E13" s="487">
        <v>3.33</v>
      </c>
      <c r="F13" s="89">
        <f t="shared" si="0"/>
        <v>302.27199999999999</v>
      </c>
      <c r="G13" s="89">
        <v>3382423.6799999997</v>
      </c>
      <c r="I13" s="43" t="s">
        <v>71</v>
      </c>
      <c r="J13" t="s">
        <v>88</v>
      </c>
      <c r="K13" s="284">
        <v>36</v>
      </c>
      <c r="L13" s="46">
        <v>0</v>
      </c>
      <c r="M13" s="284">
        <v>0.77</v>
      </c>
      <c r="N13" s="284">
        <v>0</v>
      </c>
    </row>
    <row r="14" spans="1:16" x14ac:dyDescent="0.25">
      <c r="A14" s="43" t="s">
        <v>0</v>
      </c>
      <c r="B14" s="29" t="s">
        <v>83</v>
      </c>
      <c r="C14" t="s">
        <v>84</v>
      </c>
      <c r="D14" s="61" t="s">
        <v>110</v>
      </c>
      <c r="E14" s="487">
        <v>1.1200000000000001</v>
      </c>
      <c r="F14" s="89">
        <f t="shared" si="0"/>
        <v>570</v>
      </c>
      <c r="G14" s="89">
        <v>6378300</v>
      </c>
      <c r="I14" s="43" t="s">
        <v>71</v>
      </c>
      <c r="J14" t="s">
        <v>89</v>
      </c>
      <c r="K14" s="284">
        <f>SUMPRODUCT(Distances!E13:E24,Distances!G13:G24)/SUM(Distances!E13:E24)</f>
        <v>37.275145170465059</v>
      </c>
      <c r="L14" s="46">
        <v>4031159</v>
      </c>
      <c r="M14" s="284">
        <v>0</v>
      </c>
      <c r="N14" s="284">
        <v>0</v>
      </c>
    </row>
    <row r="15" spans="1:16" x14ac:dyDescent="0.25">
      <c r="A15" s="43" t="s">
        <v>0</v>
      </c>
      <c r="B15" s="29" t="s">
        <v>83</v>
      </c>
      <c r="C15" t="s">
        <v>84</v>
      </c>
      <c r="D15" t="s">
        <v>88</v>
      </c>
      <c r="E15" s="487">
        <v>1.1200000000000001</v>
      </c>
      <c r="F15" s="89">
        <f t="shared" si="0"/>
        <v>0</v>
      </c>
      <c r="G15" s="89">
        <v>0</v>
      </c>
      <c r="I15" s="43" t="s">
        <v>83</v>
      </c>
      <c r="J15" t="s">
        <v>70</v>
      </c>
      <c r="K15" s="86">
        <v>381.59447</v>
      </c>
      <c r="L15" s="87">
        <v>50014969</v>
      </c>
      <c r="M15" s="284">
        <v>4.63</v>
      </c>
      <c r="N15" s="284">
        <v>0</v>
      </c>
    </row>
    <row r="16" spans="1:16" x14ac:dyDescent="0.25">
      <c r="A16" s="43" t="s">
        <v>0</v>
      </c>
      <c r="B16" s="29" t="s">
        <v>83</v>
      </c>
      <c r="C16" t="s">
        <v>84</v>
      </c>
      <c r="D16" t="s">
        <v>89</v>
      </c>
      <c r="E16" s="487">
        <v>0.53</v>
      </c>
      <c r="F16" s="89">
        <f t="shared" si="0"/>
        <v>1916.1995046335403</v>
      </c>
      <c r="G16" s="89">
        <v>21442272.456849314</v>
      </c>
      <c r="I16" s="43" t="s">
        <v>83</v>
      </c>
      <c r="J16" s="61" t="s">
        <v>72</v>
      </c>
      <c r="K16" s="284">
        <v>0</v>
      </c>
      <c r="L16" s="87">
        <v>10272000</v>
      </c>
      <c r="M16" s="284">
        <v>1.1200000000000001</v>
      </c>
      <c r="N16" s="284">
        <v>0</v>
      </c>
    </row>
    <row r="17" spans="1:16" x14ac:dyDescent="0.25">
      <c r="A17" s="43" t="s">
        <v>0</v>
      </c>
      <c r="B17" t="s">
        <v>71</v>
      </c>
      <c r="C17" t="s">
        <v>84</v>
      </c>
      <c r="D17" t="s">
        <v>89</v>
      </c>
      <c r="E17" s="487">
        <v>0</v>
      </c>
      <c r="F17" s="89">
        <f t="shared" si="0"/>
        <v>360.24655942806078</v>
      </c>
      <c r="G17" s="89">
        <v>4031159</v>
      </c>
      <c r="I17" s="43" t="s">
        <v>83</v>
      </c>
      <c r="J17" s="61" t="s">
        <v>110</v>
      </c>
      <c r="K17" s="86">
        <v>46</v>
      </c>
      <c r="L17" s="87">
        <v>6378300</v>
      </c>
      <c r="M17" s="284">
        <v>1.1200000000000001</v>
      </c>
      <c r="N17" s="284">
        <v>0</v>
      </c>
    </row>
    <row r="18" spans="1:16" x14ac:dyDescent="0.25">
      <c r="A18" s="43" t="s">
        <v>0</v>
      </c>
      <c r="B18" s="29" t="s">
        <v>83</v>
      </c>
      <c r="C18" t="s">
        <v>84</v>
      </c>
      <c r="D18" t="s">
        <v>74</v>
      </c>
      <c r="E18" s="487">
        <v>3.44</v>
      </c>
      <c r="F18" s="89">
        <f t="shared" si="0"/>
        <v>23.730000000000004</v>
      </c>
      <c r="G18" s="89">
        <v>265538.7</v>
      </c>
      <c r="I18" s="43" t="s">
        <v>83</v>
      </c>
      <c r="J18" s="61" t="s">
        <v>87</v>
      </c>
      <c r="K18" s="86">
        <v>238</v>
      </c>
      <c r="L18" s="87">
        <v>4688610</v>
      </c>
      <c r="M18" s="284">
        <v>3.33</v>
      </c>
      <c r="N18" s="284">
        <v>0</v>
      </c>
    </row>
    <row r="19" spans="1:16" x14ac:dyDescent="0.25">
      <c r="A19" s="43" t="s">
        <v>0</v>
      </c>
      <c r="B19" t="s">
        <v>71</v>
      </c>
      <c r="C19" s="43" t="s">
        <v>85</v>
      </c>
      <c r="D19" t="s">
        <v>74</v>
      </c>
      <c r="E19" s="487">
        <f>+E7*0.9</f>
        <v>1.1700000000000002</v>
      </c>
      <c r="F19" s="89">
        <f t="shared" si="0"/>
        <v>300</v>
      </c>
      <c r="G19" s="89">
        <v>3357000</v>
      </c>
      <c r="I19" s="43" t="s">
        <v>83</v>
      </c>
      <c r="J19" s="61" t="s">
        <v>73</v>
      </c>
      <c r="K19" s="86">
        <v>242</v>
      </c>
      <c r="L19" s="87">
        <v>15660325</v>
      </c>
      <c r="M19" s="284">
        <v>3.44</v>
      </c>
      <c r="N19" s="284">
        <v>0</v>
      </c>
    </row>
    <row r="20" spans="1:16" x14ac:dyDescent="0.25">
      <c r="A20" s="43" t="s">
        <v>0</v>
      </c>
      <c r="B20" s="29" t="s">
        <v>83</v>
      </c>
      <c r="C20" s="43" t="s">
        <v>85</v>
      </c>
      <c r="D20" t="s">
        <v>89</v>
      </c>
      <c r="E20" s="487">
        <v>0.48</v>
      </c>
      <c r="F20" s="89">
        <f t="shared" si="0"/>
        <v>414.26532618409294</v>
      </c>
      <c r="G20" s="89">
        <v>4635629</v>
      </c>
      <c r="I20" s="43" t="s">
        <v>83</v>
      </c>
      <c r="J20" s="61" t="s">
        <v>88</v>
      </c>
      <c r="K20" s="86">
        <v>36</v>
      </c>
      <c r="L20" s="87">
        <v>1119000</v>
      </c>
      <c r="M20" s="284">
        <v>1.1200000000000001</v>
      </c>
      <c r="N20" s="284">
        <v>0</v>
      </c>
    </row>
    <row r="21" spans="1:16" x14ac:dyDescent="0.25">
      <c r="A21" s="43" t="s">
        <v>0</v>
      </c>
      <c r="B21" s="29" t="s">
        <v>83</v>
      </c>
      <c r="C21" s="43" t="s">
        <v>85</v>
      </c>
      <c r="D21" t="s">
        <v>89</v>
      </c>
      <c r="E21" s="487">
        <v>0.48</v>
      </c>
      <c r="F21" s="89">
        <f t="shared" si="0"/>
        <v>212.57042001787312</v>
      </c>
      <c r="G21" s="89">
        <v>2378663</v>
      </c>
      <c r="I21" s="43" t="s">
        <v>83</v>
      </c>
      <c r="J21" s="61" t="s">
        <v>74</v>
      </c>
      <c r="K21" s="86">
        <v>337</v>
      </c>
      <c r="L21" s="87">
        <v>7553250</v>
      </c>
      <c r="M21" s="284">
        <v>3.44</v>
      </c>
      <c r="N21" s="284">
        <v>2.99</v>
      </c>
    </row>
    <row r="22" spans="1:16" x14ac:dyDescent="0.25">
      <c r="A22" s="43" t="s">
        <v>0</v>
      </c>
      <c r="B22" s="29" t="s">
        <v>83</v>
      </c>
      <c r="C22" s="43" t="s">
        <v>85</v>
      </c>
      <c r="D22" t="s">
        <v>74</v>
      </c>
      <c r="E22" s="487">
        <v>2.99</v>
      </c>
      <c r="F22" s="89">
        <f t="shared" si="0"/>
        <v>578.06200000000001</v>
      </c>
      <c r="G22" s="89">
        <v>6468513.7799999993</v>
      </c>
      <c r="I22" s="43" t="s">
        <v>83</v>
      </c>
      <c r="J22" s="61" t="s">
        <v>75</v>
      </c>
      <c r="K22" s="86">
        <v>2</v>
      </c>
      <c r="L22" s="87">
        <v>7273500</v>
      </c>
      <c r="M22" s="284">
        <v>0.4</v>
      </c>
      <c r="N22" s="284">
        <v>0</v>
      </c>
    </row>
    <row r="23" spans="1:16" x14ac:dyDescent="0.25">
      <c r="A23" s="43" t="s">
        <v>0</v>
      </c>
      <c r="B23" t="s">
        <v>71</v>
      </c>
      <c r="C23" s="29" t="s">
        <v>86</v>
      </c>
      <c r="D23" t="s">
        <v>74</v>
      </c>
      <c r="E23" s="487">
        <v>0.14000000000000001</v>
      </c>
      <c r="F23" s="89">
        <f t="shared" si="0"/>
        <v>0</v>
      </c>
      <c r="G23" s="89">
        <v>0</v>
      </c>
      <c r="I23" s="43" t="s">
        <v>83</v>
      </c>
      <c r="J23" t="s">
        <v>139</v>
      </c>
      <c r="K23" s="86">
        <v>334</v>
      </c>
      <c r="L23" s="87">
        <f>G25</f>
        <v>2950825</v>
      </c>
      <c r="M23" s="284">
        <v>0.4</v>
      </c>
      <c r="N23" s="284">
        <v>0</v>
      </c>
    </row>
    <row r="24" spans="1:16" x14ac:dyDescent="0.25">
      <c r="A24" s="43" t="s">
        <v>0</v>
      </c>
      <c r="B24" t="s">
        <v>71</v>
      </c>
      <c r="C24" s="29" t="s">
        <v>86</v>
      </c>
      <c r="D24" t="s">
        <v>74</v>
      </c>
      <c r="E24" s="487">
        <v>0.14000000000000001</v>
      </c>
      <c r="F24" s="89">
        <f t="shared" si="0"/>
        <v>0</v>
      </c>
      <c r="G24" s="89">
        <v>0</v>
      </c>
      <c r="I24" s="43" t="s">
        <v>83</v>
      </c>
      <c r="J24" t="s">
        <v>111</v>
      </c>
      <c r="K24" s="86">
        <v>24</v>
      </c>
      <c r="L24" s="87">
        <v>4635629</v>
      </c>
      <c r="M24" s="284">
        <v>0.53</v>
      </c>
      <c r="N24" s="284">
        <v>0.48</v>
      </c>
      <c r="O24" s="46">
        <v>0</v>
      </c>
      <c r="P24" s="46">
        <f>G20</f>
        <v>4635629</v>
      </c>
    </row>
    <row r="25" spans="1:16" x14ac:dyDescent="0.25">
      <c r="A25" s="43" t="s">
        <v>0</v>
      </c>
      <c r="B25" s="29" t="s">
        <v>83</v>
      </c>
      <c r="C25" t="s">
        <v>84</v>
      </c>
      <c r="D25" t="s">
        <v>139</v>
      </c>
      <c r="E25" s="487">
        <v>0.4</v>
      </c>
      <c r="F25" s="89">
        <f t="shared" si="0"/>
        <v>263.70196604110811</v>
      </c>
      <c r="G25" s="89">
        <v>2950825</v>
      </c>
      <c r="I25" s="43" t="s">
        <v>83</v>
      </c>
      <c r="J25" t="s">
        <v>112</v>
      </c>
      <c r="K25" s="86">
        <v>78</v>
      </c>
      <c r="L25" s="87">
        <v>0</v>
      </c>
      <c r="M25" s="284">
        <v>0.53</v>
      </c>
      <c r="N25" s="284">
        <v>0</v>
      </c>
      <c r="O25" s="46">
        <v>0</v>
      </c>
      <c r="P25" s="46">
        <v>0</v>
      </c>
    </row>
    <row r="26" spans="1:16" x14ac:dyDescent="0.25">
      <c r="A26" s="43" t="s">
        <v>0</v>
      </c>
      <c r="B26" t="s">
        <v>71</v>
      </c>
      <c r="C26" t="s">
        <v>84</v>
      </c>
      <c r="D26" t="s">
        <v>139</v>
      </c>
      <c r="E26" s="487">
        <v>0</v>
      </c>
      <c r="F26" s="89">
        <f t="shared" si="0"/>
        <v>263.70196604110811</v>
      </c>
      <c r="G26" s="89">
        <v>2950825</v>
      </c>
      <c r="I26" s="43" t="s">
        <v>83</v>
      </c>
      <c r="J26" t="s">
        <v>113</v>
      </c>
      <c r="K26" s="86">
        <v>133</v>
      </c>
      <c r="L26" s="87">
        <v>0</v>
      </c>
      <c r="M26" s="284">
        <v>0.53</v>
      </c>
      <c r="N26" s="284">
        <v>0</v>
      </c>
      <c r="O26" s="46">
        <v>0</v>
      </c>
      <c r="P26" s="46">
        <v>0</v>
      </c>
    </row>
    <row r="27" spans="1:16" x14ac:dyDescent="0.25">
      <c r="A27" s="43" t="s">
        <v>0</v>
      </c>
      <c r="B27" t="s">
        <v>71</v>
      </c>
      <c r="C27" t="s">
        <v>84</v>
      </c>
      <c r="D27" t="s">
        <v>75</v>
      </c>
      <c r="E27" s="487">
        <v>0</v>
      </c>
      <c r="F27" s="89">
        <f t="shared" si="0"/>
        <v>513.79740840035743</v>
      </c>
      <c r="G27" s="89">
        <v>5749393</v>
      </c>
      <c r="I27" s="43" t="s">
        <v>83</v>
      </c>
      <c r="J27" t="s">
        <v>114</v>
      </c>
      <c r="K27" s="86">
        <v>185</v>
      </c>
      <c r="L27" s="87">
        <v>0</v>
      </c>
      <c r="M27" s="284">
        <v>0.53</v>
      </c>
      <c r="N27" s="284">
        <v>0</v>
      </c>
      <c r="O27" s="46">
        <v>0</v>
      </c>
      <c r="P27" s="46">
        <v>0</v>
      </c>
    </row>
    <row r="28" spans="1:16" x14ac:dyDescent="0.25">
      <c r="A28" s="43" t="s">
        <v>0</v>
      </c>
      <c r="B28" s="29" t="s">
        <v>83</v>
      </c>
      <c r="C28" t="s">
        <v>84</v>
      </c>
      <c r="D28" t="s">
        <v>75</v>
      </c>
      <c r="E28" s="487">
        <v>0.4</v>
      </c>
      <c r="F28" s="89">
        <f t="shared" si="0"/>
        <v>513.79740840035743</v>
      </c>
      <c r="G28" s="89">
        <v>5749393</v>
      </c>
      <c r="I28" s="43" t="s">
        <v>83</v>
      </c>
      <c r="J28" t="s">
        <v>115</v>
      </c>
      <c r="K28" s="86">
        <v>202</v>
      </c>
      <c r="L28" s="87">
        <v>2378658</v>
      </c>
      <c r="M28" s="284">
        <v>0.53</v>
      </c>
      <c r="N28" s="284">
        <v>0.48</v>
      </c>
      <c r="O28" s="46">
        <v>0</v>
      </c>
      <c r="P28" s="46">
        <f>G21</f>
        <v>2378663</v>
      </c>
    </row>
    <row r="29" spans="1:16" x14ac:dyDescent="0.25">
      <c r="A29" s="43" t="s">
        <v>48</v>
      </c>
      <c r="B29" t="s">
        <v>71</v>
      </c>
      <c r="C29" t="s">
        <v>84</v>
      </c>
      <c r="D29" t="s">
        <v>72</v>
      </c>
      <c r="E29" s="487">
        <v>0.77</v>
      </c>
      <c r="F29" s="89">
        <v>5151.366</v>
      </c>
      <c r="G29" s="89">
        <f t="shared" ref="G29:G34" si="1">F29*GCV*1000</f>
        <v>57643785.539999999</v>
      </c>
      <c r="I29" s="43" t="s">
        <v>83</v>
      </c>
      <c r="J29" t="s">
        <v>116</v>
      </c>
      <c r="K29" s="86">
        <v>222</v>
      </c>
      <c r="L29" s="87">
        <v>0</v>
      </c>
      <c r="M29" s="284">
        <v>0.53</v>
      </c>
      <c r="N29" s="284">
        <v>0</v>
      </c>
      <c r="O29" s="46">
        <v>0</v>
      </c>
      <c r="P29" s="46">
        <v>0</v>
      </c>
    </row>
    <row r="30" spans="1:16" x14ac:dyDescent="0.25">
      <c r="A30" s="43" t="s">
        <v>48</v>
      </c>
      <c r="B30" t="s">
        <v>71</v>
      </c>
      <c r="C30" t="s">
        <v>84</v>
      </c>
      <c r="D30" t="s">
        <v>70</v>
      </c>
      <c r="E30" s="487">
        <v>1.3</v>
      </c>
      <c r="F30" s="89">
        <v>0</v>
      </c>
      <c r="G30" s="89">
        <f t="shared" si="1"/>
        <v>0</v>
      </c>
      <c r="I30" s="43" t="s">
        <v>83</v>
      </c>
      <c r="J30" t="s">
        <v>117</v>
      </c>
      <c r="K30" s="86">
        <v>0</v>
      </c>
      <c r="L30" s="87">
        <v>21422795</v>
      </c>
      <c r="M30" s="284">
        <v>0.53</v>
      </c>
      <c r="N30" s="284">
        <v>0</v>
      </c>
      <c r="O30" s="46">
        <f>G16</f>
        <v>21442272.456849314</v>
      </c>
      <c r="P30" s="46">
        <v>0</v>
      </c>
    </row>
    <row r="31" spans="1:16" x14ac:dyDescent="0.25">
      <c r="A31" s="43" t="s">
        <v>48</v>
      </c>
      <c r="B31" s="29" t="s">
        <v>83</v>
      </c>
      <c r="C31" t="s">
        <v>84</v>
      </c>
      <c r="D31" t="s">
        <v>70</v>
      </c>
      <c r="E31" s="487">
        <v>4.63</v>
      </c>
      <c r="F31" s="89">
        <v>4339.4900000000007</v>
      </c>
      <c r="G31" s="89">
        <f t="shared" si="1"/>
        <v>48558893.100000009</v>
      </c>
      <c r="I31" s="43" t="s">
        <v>83</v>
      </c>
      <c r="J31" t="s">
        <v>118</v>
      </c>
      <c r="K31" s="86">
        <v>71.84778</v>
      </c>
      <c r="L31" s="87">
        <v>1111503</v>
      </c>
      <c r="M31" s="284">
        <v>0.53</v>
      </c>
      <c r="N31" s="284">
        <v>0</v>
      </c>
      <c r="O31" s="46">
        <v>1111503</v>
      </c>
      <c r="P31" s="46">
        <v>0</v>
      </c>
    </row>
    <row r="32" spans="1:16" x14ac:dyDescent="0.25">
      <c r="A32" s="43" t="s">
        <v>48</v>
      </c>
      <c r="B32" s="29" t="s">
        <v>83</v>
      </c>
      <c r="C32" t="s">
        <v>84</v>
      </c>
      <c r="D32" t="s">
        <v>89</v>
      </c>
      <c r="E32" s="487">
        <v>0.53</v>
      </c>
      <c r="F32" s="89">
        <v>318.37998212689905</v>
      </c>
      <c r="G32" s="89">
        <f t="shared" si="1"/>
        <v>3562672</v>
      </c>
      <c r="I32" s="43" t="s">
        <v>83</v>
      </c>
      <c r="J32" t="s">
        <v>119</v>
      </c>
      <c r="K32" s="86">
        <v>137.48994999999999</v>
      </c>
      <c r="L32" s="87">
        <v>166731</v>
      </c>
      <c r="M32" s="284">
        <v>0.53</v>
      </c>
      <c r="N32" s="284">
        <v>0</v>
      </c>
      <c r="O32" s="46">
        <v>166731</v>
      </c>
      <c r="P32" s="46">
        <v>0</v>
      </c>
    </row>
    <row r="33" spans="1:16" x14ac:dyDescent="0.25">
      <c r="A33" s="43" t="s">
        <v>48</v>
      </c>
      <c r="B33" s="29" t="s">
        <v>83</v>
      </c>
      <c r="C33" t="s">
        <v>84</v>
      </c>
      <c r="D33" t="s">
        <v>90</v>
      </c>
      <c r="E33" s="487">
        <v>4.2</v>
      </c>
      <c r="F33" s="89">
        <v>42.168990169794462</v>
      </c>
      <c r="G33" s="89">
        <f t="shared" si="1"/>
        <v>471871</v>
      </c>
      <c r="I33" s="43" t="s">
        <v>83</v>
      </c>
      <c r="J33" t="s">
        <v>120</v>
      </c>
      <c r="K33" s="86">
        <v>180.23273</v>
      </c>
      <c r="L33" s="87">
        <v>221439</v>
      </c>
      <c r="M33" s="284">
        <v>0.53</v>
      </c>
      <c r="N33" s="284">
        <v>0</v>
      </c>
      <c r="O33" s="46">
        <v>221439</v>
      </c>
      <c r="P33" s="46">
        <v>0</v>
      </c>
    </row>
    <row r="34" spans="1:16" x14ac:dyDescent="0.25">
      <c r="A34" s="43" t="s">
        <v>48</v>
      </c>
      <c r="B34" t="s">
        <v>71</v>
      </c>
      <c r="C34" s="43" t="s">
        <v>85</v>
      </c>
      <c r="D34" t="s">
        <v>70</v>
      </c>
      <c r="E34" s="487">
        <v>0.62</v>
      </c>
      <c r="F34" s="89">
        <v>47.482999999999997</v>
      </c>
      <c r="G34" s="89">
        <f t="shared" si="1"/>
        <v>531334.7699999999</v>
      </c>
      <c r="I34" s="43" t="s">
        <v>83</v>
      </c>
      <c r="J34" t="s">
        <v>121</v>
      </c>
      <c r="K34" s="86">
        <v>210.69001</v>
      </c>
      <c r="L34" s="87">
        <v>1952543</v>
      </c>
      <c r="M34" s="284">
        <v>0.53</v>
      </c>
      <c r="N34" s="284">
        <v>0</v>
      </c>
      <c r="O34" s="46">
        <v>1952543</v>
      </c>
      <c r="P34" s="46">
        <v>0</v>
      </c>
    </row>
    <row r="35" spans="1:16" x14ac:dyDescent="0.25">
      <c r="I35" s="43" t="s">
        <v>83</v>
      </c>
      <c r="J35" t="s">
        <v>122</v>
      </c>
      <c r="K35" s="86">
        <v>231.34958</v>
      </c>
      <c r="L35" s="87">
        <v>110456</v>
      </c>
      <c r="M35" s="284">
        <v>0.53</v>
      </c>
      <c r="N35" s="284">
        <v>0</v>
      </c>
      <c r="O35" s="46">
        <v>110456</v>
      </c>
      <c r="P35" s="46">
        <v>0</v>
      </c>
    </row>
    <row r="36" spans="1:16" x14ac:dyDescent="0.25">
      <c r="E36" s="88"/>
      <c r="F36" s="88"/>
      <c r="I36" s="43" t="s">
        <v>83</v>
      </c>
      <c r="J36" t="s">
        <v>123</v>
      </c>
      <c r="K36" s="86">
        <v>268.73602</v>
      </c>
      <c r="L36" s="87">
        <v>55223</v>
      </c>
      <c r="M36" s="284">
        <v>4.2</v>
      </c>
      <c r="N36" s="284">
        <v>0</v>
      </c>
      <c r="O36" s="46">
        <v>55223</v>
      </c>
      <c r="P36" s="46">
        <v>0</v>
      </c>
    </row>
    <row r="37" spans="1:16" x14ac:dyDescent="0.25">
      <c r="I37" s="43" t="s">
        <v>83</v>
      </c>
      <c r="J37" t="s">
        <v>124</v>
      </c>
      <c r="K37" s="86">
        <v>300.39652000000001</v>
      </c>
      <c r="L37" s="87">
        <v>22022</v>
      </c>
      <c r="M37" s="284">
        <v>4.2</v>
      </c>
      <c r="N37" s="284">
        <v>0</v>
      </c>
      <c r="O37" s="46">
        <v>22022</v>
      </c>
      <c r="P37" s="46">
        <v>0</v>
      </c>
    </row>
    <row r="38" spans="1:16" x14ac:dyDescent="0.25">
      <c r="I38" s="43" t="s">
        <v>83</v>
      </c>
      <c r="J38" t="s">
        <v>125</v>
      </c>
      <c r="K38" s="86">
        <v>320.51218999999998</v>
      </c>
      <c r="L38" s="87">
        <v>110087</v>
      </c>
      <c r="M38" s="284">
        <v>4.2</v>
      </c>
      <c r="N38" s="284">
        <v>0</v>
      </c>
      <c r="O38" s="46">
        <v>110087</v>
      </c>
      <c r="P38" s="46">
        <v>0</v>
      </c>
    </row>
    <row r="39" spans="1:16" x14ac:dyDescent="0.25">
      <c r="I39" s="43" t="s">
        <v>83</v>
      </c>
      <c r="J39" t="s">
        <v>126</v>
      </c>
      <c r="K39" s="86">
        <v>361.42469</v>
      </c>
      <c r="L39" s="87">
        <v>284539</v>
      </c>
      <c r="M39" s="284">
        <v>4.2</v>
      </c>
      <c r="N39" s="284">
        <v>0</v>
      </c>
      <c r="O39" s="46">
        <v>284539</v>
      </c>
      <c r="P39" s="46">
        <v>0</v>
      </c>
    </row>
    <row r="41" spans="1:16" x14ac:dyDescent="0.25">
      <c r="K41" s="88"/>
      <c r="L41" s="88"/>
      <c r="M41" s="88"/>
      <c r="N41" s="88"/>
      <c r="O41" s="88"/>
      <c r="P41" s="88"/>
    </row>
    <row r="43" spans="1:16" x14ac:dyDescent="0.25">
      <c r="O43" s="46"/>
      <c r="P43" s="46"/>
    </row>
    <row r="44" spans="1:16" x14ac:dyDescent="0.25">
      <c r="O44" s="46"/>
      <c r="P44" s="46"/>
    </row>
    <row r="45" spans="1:16" x14ac:dyDescent="0.25">
      <c r="O45" s="46"/>
      <c r="P45" s="46"/>
    </row>
    <row r="48" spans="1:16" x14ac:dyDescent="0.25">
      <c r="O48" s="489"/>
      <c r="P48" s="489"/>
    </row>
    <row r="49" spans="15:16" x14ac:dyDescent="0.25">
      <c r="O49" s="489"/>
      <c r="P49" s="489"/>
    </row>
    <row r="50" spans="15:16" x14ac:dyDescent="0.25">
      <c r="O50" s="489"/>
      <c r="P50" s="489"/>
    </row>
    <row r="51" spans="15:16" x14ac:dyDescent="0.25">
      <c r="O51" s="490"/>
      <c r="P51" s="490"/>
    </row>
  </sheetData>
  <autoFilter ref="A4:G34" xr:uid="{00000000-0009-0000-0000-000012000000}"/>
  <pageMargins left="0.7" right="0.7" top="0.78740157499999996" bottom="0.78740157499999996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Tabelle19">
    <tabColor rgb="FFFFFF99"/>
  </sheetPr>
  <dimension ref="A1:N38"/>
  <sheetViews>
    <sheetView zoomScale="85" zoomScaleNormal="85" workbookViewId="0">
      <selection activeCell="E5" sqref="E5:E34"/>
    </sheetView>
  </sheetViews>
  <sheetFormatPr baseColWidth="10" defaultRowHeight="15" outlineLevelCol="1" x14ac:dyDescent="0.25"/>
  <cols>
    <col min="1" max="2" width="9.42578125" customWidth="1"/>
    <col min="3" max="3" width="9.140625" customWidth="1"/>
    <col min="4" max="4" width="15.5703125" bestFit="1" customWidth="1"/>
    <col min="5" max="5" width="18" bestFit="1" customWidth="1"/>
    <col min="6" max="6" width="10.85546875" style="53"/>
    <col min="7" max="8" width="12.140625" hidden="1" customWidth="1" outlineLevel="1"/>
    <col min="9" max="10" width="7.85546875" hidden="1" customWidth="1" outlineLevel="1"/>
    <col min="11" max="11" width="11.5703125" collapsed="1"/>
    <col min="13" max="13" width="28.85546875" bestFit="1" customWidth="1"/>
    <col min="14" max="14" width="11.42578125" style="121"/>
    <col min="15" max="15" width="17.5703125" customWidth="1"/>
  </cols>
  <sheetData>
    <row r="1" spans="1:14" x14ac:dyDescent="0.25">
      <c r="A1" s="391"/>
    </row>
    <row r="2" spans="1:14" x14ac:dyDescent="0.25">
      <c r="G2" s="116"/>
      <c r="H2" s="116"/>
      <c r="I2" s="116"/>
    </row>
    <row r="3" spans="1:14" x14ac:dyDescent="0.25">
      <c r="F3" s="484" t="s">
        <v>161</v>
      </c>
      <c r="G3" s="117" t="s">
        <v>141</v>
      </c>
      <c r="H3" s="117" t="s">
        <v>141</v>
      </c>
      <c r="I3" s="116"/>
    </row>
    <row r="4" spans="1:14" ht="60" x14ac:dyDescent="0.25">
      <c r="A4" s="47" t="s">
        <v>79</v>
      </c>
      <c r="B4" s="47" t="s">
        <v>80</v>
      </c>
      <c r="C4" s="47" t="s">
        <v>81</v>
      </c>
      <c r="D4" s="47" t="s">
        <v>64</v>
      </c>
      <c r="E4" s="47" t="s">
        <v>82</v>
      </c>
      <c r="F4" s="486" t="s">
        <v>412</v>
      </c>
      <c r="G4" s="118" t="s">
        <v>412</v>
      </c>
      <c r="H4" s="118" t="s">
        <v>163</v>
      </c>
      <c r="I4" s="118" t="s">
        <v>162</v>
      </c>
      <c r="J4" s="76"/>
    </row>
    <row r="5" spans="1:14" x14ac:dyDescent="0.25">
      <c r="A5" s="43" t="s">
        <v>0</v>
      </c>
      <c r="B5" t="s">
        <v>71</v>
      </c>
      <c r="C5" t="s">
        <v>84</v>
      </c>
      <c r="D5" t="s">
        <v>99</v>
      </c>
      <c r="E5" t="s">
        <v>72</v>
      </c>
      <c r="F5" s="491">
        <f>'Forecasted contracted capacity'!F5</f>
        <v>24228218.73</v>
      </c>
      <c r="G5" s="119">
        <f>F5/1000/GCV</f>
        <v>2165.1669999999999</v>
      </c>
      <c r="H5" s="119">
        <f>'Reference VO 2017'!F5</f>
        <v>2165.1669999999999</v>
      </c>
      <c r="I5" s="120">
        <f>IFERROR(G5/H5-1,"")</f>
        <v>0</v>
      </c>
      <c r="J5" s="115"/>
      <c r="L5" s="283"/>
      <c r="M5" s="283"/>
      <c r="N5" s="283"/>
    </row>
    <row r="6" spans="1:14" x14ac:dyDescent="0.25">
      <c r="A6" s="43" t="s">
        <v>0</v>
      </c>
      <c r="B6" t="s">
        <v>71</v>
      </c>
      <c r="C6" t="s">
        <v>84</v>
      </c>
      <c r="D6" t="s">
        <v>99</v>
      </c>
      <c r="E6" t="s">
        <v>73</v>
      </c>
      <c r="F6" s="491">
        <f>'Forecasted contracted capacity'!F6</f>
        <v>9651005.7300000004</v>
      </c>
      <c r="G6" s="119">
        <f t="shared" ref="G6:G34" si="0">F6/1000/GCV</f>
        <v>862.4670000000001</v>
      </c>
      <c r="H6" s="119">
        <f>'Reference VO 2017'!F6</f>
        <v>862.4670000000001</v>
      </c>
      <c r="I6" s="120">
        <f t="shared" ref="I6:I33" si="1">IFERROR(G6/H6-1,"")</f>
        <v>0</v>
      </c>
      <c r="J6" s="115"/>
      <c r="K6" s="283"/>
      <c r="L6" s="283"/>
      <c r="M6" s="283"/>
      <c r="N6" s="283"/>
    </row>
    <row r="7" spans="1:14" x14ac:dyDescent="0.25">
      <c r="A7" s="43" t="s">
        <v>0</v>
      </c>
      <c r="B7" t="s">
        <v>71</v>
      </c>
      <c r="C7" t="s">
        <v>84</v>
      </c>
      <c r="D7" t="s">
        <v>99</v>
      </c>
      <c r="E7" t="s">
        <v>74</v>
      </c>
      <c r="F7" s="491">
        <f>'Forecasted contracted capacity'!F7</f>
        <v>1393155</v>
      </c>
      <c r="G7" s="119">
        <f t="shared" si="0"/>
        <v>124.5</v>
      </c>
      <c r="H7" s="119">
        <f>'Reference VO 2017'!F7</f>
        <v>124.5</v>
      </c>
      <c r="I7" s="120">
        <f t="shared" si="1"/>
        <v>0</v>
      </c>
      <c r="J7" s="115"/>
      <c r="K7" s="283"/>
      <c r="L7" s="283"/>
      <c r="M7" s="283"/>
      <c r="N7" s="283"/>
    </row>
    <row r="8" spans="1:14" x14ac:dyDescent="0.25">
      <c r="A8" s="43" t="s">
        <v>0</v>
      </c>
      <c r="B8" t="s">
        <v>71</v>
      </c>
      <c r="C8" t="s">
        <v>84</v>
      </c>
      <c r="D8" t="s">
        <v>99</v>
      </c>
      <c r="E8" s="61" t="s">
        <v>110</v>
      </c>
      <c r="F8" s="491">
        <f>'Forecasted contracted capacity'!F8</f>
        <v>0</v>
      </c>
      <c r="G8" s="119">
        <f t="shared" si="0"/>
        <v>0</v>
      </c>
      <c r="H8" s="119">
        <f>'Reference VO 2017'!F8</f>
        <v>0</v>
      </c>
      <c r="I8" s="120" t="str">
        <f t="shared" si="1"/>
        <v/>
      </c>
      <c r="J8" s="115"/>
      <c r="K8" s="283"/>
      <c r="L8" s="283"/>
      <c r="M8" s="283"/>
      <c r="N8" s="283"/>
    </row>
    <row r="9" spans="1:14" x14ac:dyDescent="0.25">
      <c r="A9" s="43" t="s">
        <v>0</v>
      </c>
      <c r="B9" t="s">
        <v>71</v>
      </c>
      <c r="C9" t="s">
        <v>84</v>
      </c>
      <c r="D9" t="s">
        <v>99</v>
      </c>
      <c r="E9" t="s">
        <v>87</v>
      </c>
      <c r="F9" s="491">
        <f>'Forecasted contracted capacity'!F9</f>
        <v>0</v>
      </c>
      <c r="G9" s="119">
        <f t="shared" si="0"/>
        <v>0</v>
      </c>
      <c r="H9" s="119">
        <f>'Reference VO 2017'!F9</f>
        <v>0</v>
      </c>
      <c r="I9" s="120" t="str">
        <f t="shared" si="1"/>
        <v/>
      </c>
      <c r="J9" s="115"/>
      <c r="K9" s="283"/>
      <c r="L9" s="283"/>
      <c r="M9" s="283"/>
      <c r="N9" s="283"/>
    </row>
    <row r="10" spans="1:14" x14ac:dyDescent="0.25">
      <c r="A10" s="43" t="s">
        <v>0</v>
      </c>
      <c r="B10" t="s">
        <v>71</v>
      </c>
      <c r="C10" t="s">
        <v>84</v>
      </c>
      <c r="D10" t="s">
        <v>99</v>
      </c>
      <c r="E10" t="s">
        <v>88</v>
      </c>
      <c r="F10" s="491">
        <f>'Forecasted contracted capacity'!F10</f>
        <v>0</v>
      </c>
      <c r="G10" s="119">
        <f t="shared" si="0"/>
        <v>0</v>
      </c>
      <c r="H10" s="119">
        <f>'Reference VO 2017'!F10</f>
        <v>0</v>
      </c>
      <c r="I10" s="120" t="str">
        <f t="shared" si="1"/>
        <v/>
      </c>
      <c r="J10" s="115"/>
      <c r="K10" s="283"/>
      <c r="L10" s="283"/>
      <c r="M10" s="283"/>
      <c r="N10" s="283"/>
    </row>
    <row r="11" spans="1:14" x14ac:dyDescent="0.25">
      <c r="A11" s="43" t="s">
        <v>0</v>
      </c>
      <c r="B11" s="29" t="s">
        <v>83</v>
      </c>
      <c r="C11" t="s">
        <v>84</v>
      </c>
      <c r="D11" t="s">
        <v>91</v>
      </c>
      <c r="E11" t="s">
        <v>72</v>
      </c>
      <c r="F11" s="491">
        <f>'Forecasted contracted capacity'!F11</f>
        <v>5436471.2699999996</v>
      </c>
      <c r="G11" s="119">
        <f t="shared" si="0"/>
        <v>485.83300000000003</v>
      </c>
      <c r="H11" s="119">
        <f>'Reference VO 2017'!F11</f>
        <v>485.83300000000003</v>
      </c>
      <c r="I11" s="120">
        <f t="shared" si="1"/>
        <v>0</v>
      </c>
      <c r="J11" s="115"/>
      <c r="K11" s="283"/>
      <c r="L11" s="283"/>
      <c r="M11" s="283"/>
      <c r="N11" s="283"/>
    </row>
    <row r="12" spans="1:14" x14ac:dyDescent="0.25">
      <c r="A12" s="43" t="s">
        <v>0</v>
      </c>
      <c r="B12" s="29" t="s">
        <v>83</v>
      </c>
      <c r="C12" t="s">
        <v>84</v>
      </c>
      <c r="D12" t="s">
        <v>92</v>
      </c>
      <c r="E12" t="s">
        <v>73</v>
      </c>
      <c r="F12" s="491">
        <f>'Forecasted contracted capacity'!F12</f>
        <v>15660326.67</v>
      </c>
      <c r="G12" s="119">
        <f t="shared" si="0"/>
        <v>1399.4930000000002</v>
      </c>
      <c r="H12" s="119">
        <f>'Reference VO 2017'!F12</f>
        <v>1399.4929999999999</v>
      </c>
      <c r="I12" s="120">
        <f t="shared" si="1"/>
        <v>2.2204460492503131E-16</v>
      </c>
      <c r="J12" s="115"/>
      <c r="K12" s="283"/>
      <c r="L12" s="283"/>
      <c r="M12" s="283"/>
      <c r="N12" s="283"/>
    </row>
    <row r="13" spans="1:14" x14ac:dyDescent="0.25">
      <c r="A13" s="43" t="s">
        <v>0</v>
      </c>
      <c r="B13" s="29" t="s">
        <v>83</v>
      </c>
      <c r="C13" t="s">
        <v>84</v>
      </c>
      <c r="D13" t="s">
        <v>93</v>
      </c>
      <c r="E13" t="s">
        <v>87</v>
      </c>
      <c r="F13" s="491">
        <f>'Forecasted contracted capacity'!F13</f>
        <v>3382423.6799999997</v>
      </c>
      <c r="G13" s="119">
        <f t="shared" si="0"/>
        <v>302.27199999999999</v>
      </c>
      <c r="H13" s="119">
        <f>'Reference VO 2017'!F13</f>
        <v>302.27199999999999</v>
      </c>
      <c r="I13" s="120">
        <f t="shared" si="1"/>
        <v>0</v>
      </c>
      <c r="J13" s="115"/>
      <c r="K13" s="283"/>
      <c r="L13" s="283"/>
      <c r="M13" s="283"/>
      <c r="N13" s="283"/>
    </row>
    <row r="14" spans="1:14" x14ac:dyDescent="0.25">
      <c r="A14" s="43" t="s">
        <v>0</v>
      </c>
      <c r="B14" s="29" t="s">
        <v>83</v>
      </c>
      <c r="C14" t="s">
        <v>84</v>
      </c>
      <c r="D14" s="53" t="s">
        <v>91</v>
      </c>
      <c r="E14" s="61" t="s">
        <v>110</v>
      </c>
      <c r="F14" s="491">
        <f>'Forecasted contracted capacity'!F14</f>
        <v>6378300</v>
      </c>
      <c r="G14" s="119">
        <f t="shared" si="0"/>
        <v>570</v>
      </c>
      <c r="H14" s="119">
        <f>'Reference VO 2017'!F14</f>
        <v>570</v>
      </c>
      <c r="I14" s="120">
        <f t="shared" si="1"/>
        <v>0</v>
      </c>
      <c r="J14" s="115"/>
      <c r="K14" s="283"/>
      <c r="L14" s="283"/>
      <c r="M14" s="283"/>
      <c r="N14" s="283"/>
    </row>
    <row r="15" spans="1:14" x14ac:dyDescent="0.25">
      <c r="A15" s="43" t="s">
        <v>0</v>
      </c>
      <c r="B15" s="29" t="s">
        <v>83</v>
      </c>
      <c r="C15" t="s">
        <v>84</v>
      </c>
      <c r="D15" t="s">
        <v>91</v>
      </c>
      <c r="E15" t="s">
        <v>88</v>
      </c>
      <c r="F15" s="491">
        <f>'Forecasted contracted capacity'!F15</f>
        <v>0</v>
      </c>
      <c r="G15" s="119">
        <f t="shared" si="0"/>
        <v>0</v>
      </c>
      <c r="H15" s="119">
        <f>'Reference VO 2017'!F15</f>
        <v>0</v>
      </c>
      <c r="I15" s="120" t="str">
        <f t="shared" si="1"/>
        <v/>
      </c>
      <c r="J15" s="115"/>
      <c r="K15" s="283"/>
      <c r="L15" s="283"/>
      <c r="M15" s="283"/>
      <c r="N15" s="283"/>
    </row>
    <row r="16" spans="1:14" x14ac:dyDescent="0.25">
      <c r="A16" s="43" t="s">
        <v>0</v>
      </c>
      <c r="B16" s="29" t="s">
        <v>83</v>
      </c>
      <c r="C16" t="s">
        <v>84</v>
      </c>
      <c r="D16" s="55" t="s">
        <v>94</v>
      </c>
      <c r="E16" t="s">
        <v>89</v>
      </c>
      <c r="F16" s="491">
        <f>'Forecasted contracted capacity'!F16</f>
        <v>21442272.456849314</v>
      </c>
      <c r="G16" s="119">
        <f t="shared" si="0"/>
        <v>1916.1995046335403</v>
      </c>
      <c r="H16" s="119">
        <f>'Reference VO 2017'!F16</f>
        <v>1916.1995046335403</v>
      </c>
      <c r="I16" s="120">
        <f t="shared" si="1"/>
        <v>0</v>
      </c>
      <c r="J16" s="115"/>
      <c r="K16" s="283"/>
      <c r="L16" s="283"/>
      <c r="M16" s="283"/>
      <c r="N16" s="283"/>
    </row>
    <row r="17" spans="1:14" x14ac:dyDescent="0.25">
      <c r="A17" s="43" t="s">
        <v>0</v>
      </c>
      <c r="B17" t="s">
        <v>71</v>
      </c>
      <c r="C17" t="s">
        <v>84</v>
      </c>
      <c r="D17" t="s">
        <v>99</v>
      </c>
      <c r="E17" t="s">
        <v>89</v>
      </c>
      <c r="F17" s="491">
        <f>'Forecasted contracted capacity'!F17</f>
        <v>4031159</v>
      </c>
      <c r="G17" s="119">
        <f t="shared" si="0"/>
        <v>360.24655942806078</v>
      </c>
      <c r="H17" s="119">
        <f>'Reference VO 2017'!F17</f>
        <v>360.24655942806078</v>
      </c>
      <c r="I17" s="120">
        <f t="shared" si="1"/>
        <v>0</v>
      </c>
      <c r="J17" s="115"/>
      <c r="K17" s="283"/>
      <c r="L17" s="283"/>
      <c r="M17" s="283"/>
      <c r="N17" s="283"/>
    </row>
    <row r="18" spans="1:14" x14ac:dyDescent="0.25">
      <c r="A18" s="43" t="s">
        <v>0</v>
      </c>
      <c r="B18" s="29" t="s">
        <v>83</v>
      </c>
      <c r="C18" t="s">
        <v>84</v>
      </c>
      <c r="D18" t="s">
        <v>92</v>
      </c>
      <c r="E18" t="s">
        <v>74</v>
      </c>
      <c r="F18" s="491">
        <f>'Forecasted contracted capacity'!F18</f>
        <v>265538.7</v>
      </c>
      <c r="G18" s="119">
        <f t="shared" si="0"/>
        <v>23.73</v>
      </c>
      <c r="H18" s="119">
        <f>'Reference VO 2017'!F18</f>
        <v>23.730000000000004</v>
      </c>
      <c r="I18" s="120">
        <f t="shared" si="1"/>
        <v>-1.1102230246251565E-16</v>
      </c>
      <c r="J18" s="115"/>
      <c r="K18" s="283"/>
      <c r="L18" s="283"/>
      <c r="M18" s="283"/>
      <c r="N18" s="283"/>
    </row>
    <row r="19" spans="1:14" x14ac:dyDescent="0.25">
      <c r="A19" s="43" t="s">
        <v>0</v>
      </c>
      <c r="B19" t="s">
        <v>71</v>
      </c>
      <c r="C19" s="43" t="s">
        <v>85</v>
      </c>
      <c r="D19" t="s">
        <v>99</v>
      </c>
      <c r="E19" t="s">
        <v>74</v>
      </c>
      <c r="F19" s="491">
        <f>'Forecasted contracted capacity'!F19</f>
        <v>3357000</v>
      </c>
      <c r="G19" s="119">
        <f t="shared" si="0"/>
        <v>300</v>
      </c>
      <c r="H19" s="119">
        <f>'Reference VO 2017'!F19</f>
        <v>300</v>
      </c>
      <c r="I19" s="120">
        <f t="shared" si="1"/>
        <v>0</v>
      </c>
      <c r="J19" s="115"/>
      <c r="K19" s="283"/>
      <c r="L19" s="283"/>
      <c r="M19" s="283"/>
      <c r="N19" s="283"/>
    </row>
    <row r="20" spans="1:14" x14ac:dyDescent="0.25">
      <c r="A20" s="43" t="s">
        <v>0</v>
      </c>
      <c r="B20" s="29" t="s">
        <v>83</v>
      </c>
      <c r="C20" s="43" t="s">
        <v>85</v>
      </c>
      <c r="D20" s="55" t="s">
        <v>94</v>
      </c>
      <c r="E20" t="s">
        <v>89</v>
      </c>
      <c r="F20" s="491">
        <f>'Forecasted contracted capacity'!F20</f>
        <v>4635629</v>
      </c>
      <c r="G20" s="119">
        <f t="shared" si="0"/>
        <v>414.26532618409294</v>
      </c>
      <c r="H20" s="119">
        <f>'Reference VO 2017'!F20</f>
        <v>414.26532618409294</v>
      </c>
      <c r="I20" s="120">
        <f t="shared" si="1"/>
        <v>0</v>
      </c>
      <c r="J20" s="115"/>
      <c r="K20" s="283"/>
      <c r="L20" s="283"/>
      <c r="M20" s="283"/>
      <c r="N20" s="283"/>
    </row>
    <row r="21" spans="1:14" x14ac:dyDescent="0.25">
      <c r="A21" s="43" t="s">
        <v>0</v>
      </c>
      <c r="B21" s="29" t="s">
        <v>83</v>
      </c>
      <c r="C21" s="43" t="s">
        <v>85</v>
      </c>
      <c r="D21" s="55" t="s">
        <v>94</v>
      </c>
      <c r="E21" t="s">
        <v>89</v>
      </c>
      <c r="F21" s="491">
        <f>'Forecasted contracted capacity'!F21</f>
        <v>2378663</v>
      </c>
      <c r="G21" s="119">
        <f t="shared" si="0"/>
        <v>212.57042001787312</v>
      </c>
      <c r="H21" s="119">
        <f>'Reference VO 2017'!F21</f>
        <v>212.57042001787312</v>
      </c>
      <c r="I21" s="120">
        <f t="shared" si="1"/>
        <v>0</v>
      </c>
      <c r="J21" s="115"/>
      <c r="K21" s="283"/>
      <c r="L21" s="283"/>
      <c r="M21" s="283"/>
      <c r="N21" s="283"/>
    </row>
    <row r="22" spans="1:14" x14ac:dyDescent="0.25">
      <c r="A22" s="43" t="s">
        <v>0</v>
      </c>
      <c r="B22" s="29" t="s">
        <v>83</v>
      </c>
      <c r="C22" s="43" t="s">
        <v>85</v>
      </c>
      <c r="D22" t="s">
        <v>92</v>
      </c>
      <c r="E22" t="s">
        <v>74</v>
      </c>
      <c r="F22" s="491">
        <f>'Forecasted contracted capacity'!F22</f>
        <v>6468513.7799999993</v>
      </c>
      <c r="G22" s="119">
        <f t="shared" si="0"/>
        <v>578.06200000000001</v>
      </c>
      <c r="H22" s="119">
        <f>'Reference VO 2017'!F22</f>
        <v>578.06200000000001</v>
      </c>
      <c r="I22" s="120">
        <f t="shared" si="1"/>
        <v>0</v>
      </c>
      <c r="J22" s="115"/>
      <c r="K22" s="283"/>
      <c r="L22" s="283"/>
      <c r="M22" s="283"/>
      <c r="N22" s="283"/>
    </row>
    <row r="23" spans="1:14" x14ac:dyDescent="0.25">
      <c r="A23" s="43" t="s">
        <v>0</v>
      </c>
      <c r="B23" t="s">
        <v>71</v>
      </c>
      <c r="C23" s="29" t="s">
        <v>86</v>
      </c>
      <c r="D23" t="s">
        <v>95</v>
      </c>
      <c r="E23" t="s">
        <v>74</v>
      </c>
      <c r="F23" s="491">
        <f>'Forecasted contracted capacity'!F23</f>
        <v>0</v>
      </c>
      <c r="G23" s="119">
        <f t="shared" si="0"/>
        <v>0</v>
      </c>
      <c r="H23" s="119">
        <f>'Reference VO 2017'!F23</f>
        <v>0</v>
      </c>
      <c r="I23" s="120" t="str">
        <f t="shared" si="1"/>
        <v/>
      </c>
      <c r="J23" s="115"/>
      <c r="K23" s="283"/>
      <c r="L23" s="283"/>
      <c r="M23" s="283"/>
      <c r="N23" s="283"/>
    </row>
    <row r="24" spans="1:14" x14ac:dyDescent="0.25">
      <c r="A24" s="43" t="s">
        <v>0</v>
      </c>
      <c r="B24" t="s">
        <v>71</v>
      </c>
      <c r="C24" s="29" t="s">
        <v>86</v>
      </c>
      <c r="D24" t="s">
        <v>95</v>
      </c>
      <c r="E24" t="s">
        <v>74</v>
      </c>
      <c r="F24" s="491">
        <f>'Forecasted contracted capacity'!F24</f>
        <v>0</v>
      </c>
      <c r="G24" s="119">
        <f t="shared" si="0"/>
        <v>0</v>
      </c>
      <c r="H24" s="119">
        <f>'Reference VO 2017'!F24</f>
        <v>0</v>
      </c>
      <c r="I24" s="120" t="str">
        <f t="shared" si="1"/>
        <v/>
      </c>
      <c r="J24" s="115"/>
      <c r="K24" s="283"/>
      <c r="L24" s="283"/>
      <c r="M24" s="283"/>
      <c r="N24" s="283"/>
    </row>
    <row r="25" spans="1:14" x14ac:dyDescent="0.25">
      <c r="A25" s="43" t="s">
        <v>0</v>
      </c>
      <c r="B25" s="29" t="s">
        <v>83</v>
      </c>
      <c r="C25" t="s">
        <v>84</v>
      </c>
      <c r="D25" t="s">
        <v>96</v>
      </c>
      <c r="E25" t="s">
        <v>139</v>
      </c>
      <c r="F25" s="491">
        <f>'Forecasted contracted capacity'!F25</f>
        <v>2950825</v>
      </c>
      <c r="G25" s="119">
        <f t="shared" si="0"/>
        <v>263.70196604110811</v>
      </c>
      <c r="H25" s="119">
        <f>'Reference VO 2017'!F25</f>
        <v>263.70196604110811</v>
      </c>
      <c r="I25" s="120">
        <f t="shared" si="1"/>
        <v>0</v>
      </c>
      <c r="J25" s="115"/>
      <c r="K25" s="283"/>
      <c r="L25" s="283"/>
      <c r="M25" s="283"/>
      <c r="N25" s="283"/>
    </row>
    <row r="26" spans="1:14" x14ac:dyDescent="0.25">
      <c r="A26" s="43" t="s">
        <v>0</v>
      </c>
      <c r="B26" t="s">
        <v>71</v>
      </c>
      <c r="C26" t="s">
        <v>84</v>
      </c>
      <c r="D26" t="s">
        <v>99</v>
      </c>
      <c r="E26" t="s">
        <v>139</v>
      </c>
      <c r="F26" s="491">
        <f>'Forecasted contracted capacity'!F26</f>
        <v>2950825</v>
      </c>
      <c r="G26" s="119">
        <f t="shared" si="0"/>
        <v>263.70196604110811</v>
      </c>
      <c r="H26" s="119">
        <f>'Reference VO 2017'!F26</f>
        <v>263.70196604110811</v>
      </c>
      <c r="I26" s="120">
        <f t="shared" si="1"/>
        <v>0</v>
      </c>
      <c r="J26" s="115"/>
      <c r="K26" s="283"/>
      <c r="L26" s="283"/>
      <c r="M26" s="283"/>
      <c r="N26" s="283"/>
    </row>
    <row r="27" spans="1:14" x14ac:dyDescent="0.25">
      <c r="A27" s="43" t="s">
        <v>0</v>
      </c>
      <c r="B27" t="s">
        <v>71</v>
      </c>
      <c r="C27" t="s">
        <v>84</v>
      </c>
      <c r="D27" t="s">
        <v>99</v>
      </c>
      <c r="E27" t="s">
        <v>75</v>
      </c>
      <c r="F27" s="491">
        <f>'Forecasted contracted capacity'!F27</f>
        <v>5749393</v>
      </c>
      <c r="G27" s="119">
        <f t="shared" si="0"/>
        <v>513.79740840035754</v>
      </c>
      <c r="H27" s="119">
        <f>'Reference VO 2017'!F27</f>
        <v>513.79740840035743</v>
      </c>
      <c r="I27" s="120">
        <f t="shared" si="1"/>
        <v>2.2204460492503131E-16</v>
      </c>
      <c r="J27" s="115"/>
      <c r="K27" s="283"/>
      <c r="L27" s="283"/>
      <c r="M27" s="283"/>
      <c r="N27" s="283"/>
    </row>
    <row r="28" spans="1:14" x14ac:dyDescent="0.25">
      <c r="A28" s="43" t="s">
        <v>0</v>
      </c>
      <c r="B28" s="29" t="s">
        <v>83</v>
      </c>
      <c r="C28" t="s">
        <v>84</v>
      </c>
      <c r="D28" t="s">
        <v>96</v>
      </c>
      <c r="E28" t="s">
        <v>75</v>
      </c>
      <c r="F28" s="491">
        <f>'Forecasted contracted capacity'!F28</f>
        <v>5749393</v>
      </c>
      <c r="G28" s="119">
        <f t="shared" si="0"/>
        <v>513.79740840035754</v>
      </c>
      <c r="H28" s="119">
        <f>'Reference VO 2017'!F28</f>
        <v>513.79740840035743</v>
      </c>
      <c r="I28" s="120">
        <f t="shared" si="1"/>
        <v>2.2204460492503131E-16</v>
      </c>
      <c r="J28" s="115"/>
      <c r="K28" s="283"/>
      <c r="L28" s="283"/>
      <c r="M28" s="283"/>
      <c r="N28" s="283"/>
    </row>
    <row r="29" spans="1:14" x14ac:dyDescent="0.25">
      <c r="A29" s="43" t="s">
        <v>48</v>
      </c>
      <c r="B29" t="s">
        <v>71</v>
      </c>
      <c r="C29" t="s">
        <v>84</v>
      </c>
      <c r="D29" t="s">
        <v>99</v>
      </c>
      <c r="E29" t="s">
        <v>72</v>
      </c>
      <c r="F29" s="491">
        <f>'Forecasted contracted capacity'!F29</f>
        <v>57643785.539999999</v>
      </c>
      <c r="G29" s="119">
        <f t="shared" si="0"/>
        <v>5151.366</v>
      </c>
      <c r="H29" s="119">
        <f>'Reference VO 2017'!F29</f>
        <v>5151.366</v>
      </c>
      <c r="I29" s="120">
        <f t="shared" si="1"/>
        <v>0</v>
      </c>
      <c r="J29" s="115"/>
      <c r="K29" s="283"/>
      <c r="L29" s="283"/>
      <c r="M29" s="283"/>
      <c r="N29" s="283"/>
    </row>
    <row r="30" spans="1:14" x14ac:dyDescent="0.25">
      <c r="A30" s="43" t="s">
        <v>48</v>
      </c>
      <c r="B30" t="s">
        <v>71</v>
      </c>
      <c r="C30" t="s">
        <v>84</v>
      </c>
      <c r="D30" t="s">
        <v>99</v>
      </c>
      <c r="E30" t="s">
        <v>70</v>
      </c>
      <c r="F30" s="491">
        <f>'Forecasted contracted capacity'!F30</f>
        <v>0</v>
      </c>
      <c r="G30" s="119">
        <f t="shared" si="0"/>
        <v>0</v>
      </c>
      <c r="H30" s="119">
        <f>'Reference VO 2017'!F30</f>
        <v>0</v>
      </c>
      <c r="I30" s="120" t="str">
        <f t="shared" si="1"/>
        <v/>
      </c>
      <c r="J30" s="115"/>
      <c r="K30" s="283"/>
      <c r="L30" s="283"/>
      <c r="M30" s="283"/>
      <c r="N30" s="283"/>
    </row>
    <row r="31" spans="1:14" x14ac:dyDescent="0.25">
      <c r="A31" s="43" t="s">
        <v>48</v>
      </c>
      <c r="B31" s="29" t="s">
        <v>83</v>
      </c>
      <c r="C31" t="s">
        <v>84</v>
      </c>
      <c r="D31" t="s">
        <v>97</v>
      </c>
      <c r="E31" t="s">
        <v>70</v>
      </c>
      <c r="F31" s="491">
        <f>'Forecasted contracted capacity'!F31</f>
        <v>48558893.100000009</v>
      </c>
      <c r="G31" s="119">
        <f t="shared" si="0"/>
        <v>4339.4900000000007</v>
      </c>
      <c r="H31" s="119">
        <f>'Reference VO 2017'!F31</f>
        <v>4339.4900000000007</v>
      </c>
      <c r="I31" s="120">
        <f t="shared" si="1"/>
        <v>0</v>
      </c>
      <c r="J31" s="115"/>
      <c r="K31" s="283"/>
      <c r="L31" s="283"/>
      <c r="M31" s="283"/>
      <c r="N31" s="283"/>
    </row>
    <row r="32" spans="1:14" x14ac:dyDescent="0.25">
      <c r="A32" s="43" t="s">
        <v>48</v>
      </c>
      <c r="B32" s="29" t="s">
        <v>83</v>
      </c>
      <c r="C32" t="s">
        <v>84</v>
      </c>
      <c r="D32" s="55" t="s">
        <v>94</v>
      </c>
      <c r="E32" t="s">
        <v>89</v>
      </c>
      <c r="F32" s="491">
        <f>'Forecasted contracted capacity'!F32</f>
        <v>3562672</v>
      </c>
      <c r="G32" s="119">
        <f t="shared" si="0"/>
        <v>318.37998212689905</v>
      </c>
      <c r="H32" s="119">
        <f>'Reference VO 2017'!F32</f>
        <v>318.37998212689905</v>
      </c>
      <c r="I32" s="120">
        <f t="shared" si="1"/>
        <v>0</v>
      </c>
      <c r="J32" s="115"/>
      <c r="K32" s="283"/>
      <c r="L32" s="283"/>
      <c r="M32" s="283"/>
      <c r="N32" s="283"/>
    </row>
    <row r="33" spans="1:14" x14ac:dyDescent="0.25">
      <c r="A33" s="43" t="s">
        <v>48</v>
      </c>
      <c r="B33" s="29" t="s">
        <v>83</v>
      </c>
      <c r="C33" t="s">
        <v>84</v>
      </c>
      <c r="D33" s="55" t="s">
        <v>98</v>
      </c>
      <c r="E33" t="s">
        <v>90</v>
      </c>
      <c r="F33" s="491">
        <f>'Forecasted contracted capacity'!F33</f>
        <v>471871</v>
      </c>
      <c r="G33" s="119">
        <f t="shared" si="0"/>
        <v>42.168990169794462</v>
      </c>
      <c r="H33" s="119">
        <f>'Reference VO 2017'!F33</f>
        <v>42.168990169794462</v>
      </c>
      <c r="I33" s="120">
        <f t="shared" si="1"/>
        <v>0</v>
      </c>
      <c r="J33" s="115"/>
      <c r="K33" s="283"/>
      <c r="L33" s="283"/>
      <c r="M33" s="283"/>
      <c r="N33" s="283"/>
    </row>
    <row r="34" spans="1:14" x14ac:dyDescent="0.25">
      <c r="A34" s="43" t="s">
        <v>48</v>
      </c>
      <c r="B34" t="s">
        <v>71</v>
      </c>
      <c r="C34" s="43" t="s">
        <v>85</v>
      </c>
      <c r="D34" t="s">
        <v>99</v>
      </c>
      <c r="E34" t="s">
        <v>70</v>
      </c>
      <c r="F34" s="491">
        <f>'Forecasted contracted capacity'!F34</f>
        <v>531334.7699999999</v>
      </c>
      <c r="G34" s="119">
        <f t="shared" si="0"/>
        <v>47.482999999999997</v>
      </c>
      <c r="H34" s="119">
        <f>'Reference VO 2017'!F34</f>
        <v>47.482999999999997</v>
      </c>
      <c r="I34" s="120">
        <f>IFERROR(G34/H34-1,"")</f>
        <v>0</v>
      </c>
      <c r="J34" s="115"/>
      <c r="K34" s="283"/>
      <c r="L34" s="283"/>
      <c r="M34" s="283"/>
      <c r="N34" s="283"/>
    </row>
    <row r="37" spans="1:14" x14ac:dyDescent="0.25">
      <c r="I37" s="176"/>
    </row>
    <row r="38" spans="1:14" x14ac:dyDescent="0.25">
      <c r="G38" s="119"/>
      <c r="H38" s="119"/>
      <c r="I38" s="120"/>
    </row>
  </sheetData>
  <autoFilter ref="A4:F34" xr:uid="{00000000-0009-0000-0000-000013000000}"/>
  <pageMargins left="0.7" right="0.7" top="0.78740157499999996" bottom="0.78740157499999996" header="0.3" footer="0.3"/>
  <pageSetup paperSize="9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Tabelle2">
    <tabColor rgb="FFFFFF99"/>
  </sheetPr>
  <dimension ref="A2:J55"/>
  <sheetViews>
    <sheetView zoomScale="85" zoomScaleNormal="85" workbookViewId="0">
      <selection activeCell="B36" sqref="B36"/>
    </sheetView>
  </sheetViews>
  <sheetFormatPr baseColWidth="10" defaultRowHeight="15" x14ac:dyDescent="0.25"/>
  <cols>
    <col min="1" max="1" width="6.42578125" customWidth="1"/>
    <col min="2" max="2" width="19.5703125" bestFit="1" customWidth="1"/>
    <col min="3" max="3" width="6" customWidth="1"/>
    <col min="4" max="4" width="18.5703125" customWidth="1"/>
    <col min="5" max="5" width="19.42578125" customWidth="1"/>
    <col min="6" max="9" width="13.5703125" customWidth="1"/>
    <col min="10" max="10" width="13.42578125" customWidth="1"/>
  </cols>
  <sheetData>
    <row r="2" spans="1:10" ht="18.75" x14ac:dyDescent="0.3">
      <c r="A2" s="191"/>
      <c r="B2" s="180" t="s">
        <v>220</v>
      </c>
      <c r="C2" s="180"/>
      <c r="F2" s="186"/>
      <c r="G2" s="186"/>
      <c r="H2" s="186"/>
      <c r="I2" s="186"/>
    </row>
    <row r="3" spans="1:10" ht="45" x14ac:dyDescent="0.25">
      <c r="E3" s="182"/>
      <c r="F3" s="181" t="s">
        <v>211</v>
      </c>
      <c r="G3" s="181" t="s">
        <v>212</v>
      </c>
      <c r="H3" s="181" t="s">
        <v>213</v>
      </c>
      <c r="I3" s="181" t="s">
        <v>214</v>
      </c>
      <c r="J3" s="181" t="s">
        <v>225</v>
      </c>
    </row>
    <row r="4" spans="1:10" ht="42.6" customHeight="1" x14ac:dyDescent="0.25">
      <c r="B4" s="189" t="s">
        <v>219</v>
      </c>
      <c r="C4" s="189"/>
      <c r="D4" s="189" t="s">
        <v>210</v>
      </c>
      <c r="E4" s="189" t="s">
        <v>411</v>
      </c>
      <c r="F4" s="187">
        <f>Forecasts!F34+Forecasts!F30</f>
        <v>531334.7699999999</v>
      </c>
      <c r="G4" s="187">
        <f>Forecasts!F5+Forecasts!F29</f>
        <v>81872004.269999996</v>
      </c>
      <c r="H4" s="187">
        <f>Forecasts!F7+Forecasts!F19+Forecasts!F23+Forecasts!F24</f>
        <v>4750155</v>
      </c>
      <c r="I4" s="187">
        <f>Forecasts!F7+Forecasts!F19</f>
        <v>4750155</v>
      </c>
    </row>
    <row r="5" spans="1:10" x14ac:dyDescent="0.25">
      <c r="B5" s="183" t="s">
        <v>70</v>
      </c>
      <c r="C5" s="190" t="s">
        <v>84</v>
      </c>
      <c r="D5" s="192">
        <v>381.59447</v>
      </c>
      <c r="E5" s="188">
        <f>Forecasts!F31</f>
        <v>48558893.100000009</v>
      </c>
      <c r="F5" s="184" t="s">
        <v>215</v>
      </c>
      <c r="G5" s="185">
        <f>D5</f>
        <v>381.59447</v>
      </c>
      <c r="H5" s="185">
        <f>$D$9+D5</f>
        <v>623.59447</v>
      </c>
      <c r="I5" s="185">
        <f>$D$11+D5</f>
        <v>718.59447</v>
      </c>
    </row>
    <row r="6" spans="1:10" x14ac:dyDescent="0.25">
      <c r="B6" s="183" t="s">
        <v>72</v>
      </c>
      <c r="C6" s="190" t="s">
        <v>84</v>
      </c>
      <c r="D6" s="193">
        <v>0</v>
      </c>
      <c r="E6" s="188">
        <f>Forecasts!F11</f>
        <v>5436471.2699999996</v>
      </c>
      <c r="F6" s="185">
        <f>$D$5+D6</f>
        <v>381.59447</v>
      </c>
      <c r="G6" s="184" t="s">
        <v>215</v>
      </c>
      <c r="H6" s="185">
        <f>$D$9+D6</f>
        <v>242</v>
      </c>
      <c r="I6" s="185">
        <f>$D$11+D6</f>
        <v>337</v>
      </c>
    </row>
    <row r="7" spans="1:10" x14ac:dyDescent="0.25">
      <c r="B7" s="183" t="s">
        <v>110</v>
      </c>
      <c r="C7" s="190" t="s">
        <v>84</v>
      </c>
      <c r="D7" s="193">
        <v>46</v>
      </c>
      <c r="E7" s="188">
        <f>Forecasts!F14</f>
        <v>6378300</v>
      </c>
      <c r="F7" s="185">
        <f>$D$5+D7</f>
        <v>427.59447</v>
      </c>
      <c r="G7" s="185">
        <f t="shared" ref="G7:G28" si="0">D7</f>
        <v>46</v>
      </c>
      <c r="H7" s="185">
        <f>$D$9+D7</f>
        <v>288</v>
      </c>
      <c r="I7" s="185">
        <f>$D$11+D7</f>
        <v>383</v>
      </c>
    </row>
    <row r="8" spans="1:10" x14ac:dyDescent="0.25">
      <c r="B8" s="183" t="s">
        <v>87</v>
      </c>
      <c r="C8" s="190" t="s">
        <v>84</v>
      </c>
      <c r="D8" s="194">
        <v>238</v>
      </c>
      <c r="E8" s="188">
        <f>Forecasts!F13</f>
        <v>3382423.6799999997</v>
      </c>
      <c r="F8" s="185">
        <f>$D$5+D8-2*D23</f>
        <v>198.21445</v>
      </c>
      <c r="G8" s="185">
        <f t="shared" si="0"/>
        <v>238</v>
      </c>
      <c r="H8" s="185">
        <f>$D$9+D8</f>
        <v>480</v>
      </c>
      <c r="I8" s="185">
        <f>$D$11+D8</f>
        <v>575</v>
      </c>
    </row>
    <row r="9" spans="1:10" x14ac:dyDescent="0.25">
      <c r="B9" s="183" t="s">
        <v>73</v>
      </c>
      <c r="C9" s="190" t="s">
        <v>84</v>
      </c>
      <c r="D9" s="193">
        <v>242</v>
      </c>
      <c r="E9" s="188">
        <f>Forecasts!F12</f>
        <v>15660326.67</v>
      </c>
      <c r="F9" s="185">
        <f t="shared" ref="F9:F18" si="1">$D$5+D9</f>
        <v>623.59447</v>
      </c>
      <c r="G9" s="185">
        <f t="shared" si="0"/>
        <v>242</v>
      </c>
      <c r="H9" s="184" t="s">
        <v>215</v>
      </c>
      <c r="I9" s="185">
        <f>$D$11-D9</f>
        <v>95</v>
      </c>
    </row>
    <row r="10" spans="1:10" x14ac:dyDescent="0.25">
      <c r="B10" s="183" t="s">
        <v>88</v>
      </c>
      <c r="C10" s="190" t="s">
        <v>84</v>
      </c>
      <c r="D10" s="193">
        <v>36</v>
      </c>
      <c r="E10" s="188">
        <f>Forecasts!F10</f>
        <v>0</v>
      </c>
      <c r="F10" s="185">
        <f t="shared" si="1"/>
        <v>417.59447</v>
      </c>
      <c r="G10" s="185">
        <f t="shared" si="0"/>
        <v>36</v>
      </c>
      <c r="H10" s="185">
        <f>$D$9+D10</f>
        <v>278</v>
      </c>
      <c r="I10" s="185">
        <f>$D$11+D10</f>
        <v>373</v>
      </c>
    </row>
    <row r="11" spans="1:10" x14ac:dyDescent="0.25">
      <c r="B11" s="183" t="s">
        <v>178</v>
      </c>
      <c r="C11" s="190" t="s">
        <v>84</v>
      </c>
      <c r="D11" s="193">
        <v>337</v>
      </c>
      <c r="E11" s="188">
        <f>Forecasts!F18+Forecasts!F22</f>
        <v>6734052.4799999995</v>
      </c>
      <c r="F11" s="185">
        <f t="shared" si="1"/>
        <v>718.59447</v>
      </c>
      <c r="G11" s="185">
        <f t="shared" si="0"/>
        <v>337</v>
      </c>
      <c r="H11" s="185">
        <f>-$D$9+D11</f>
        <v>95</v>
      </c>
      <c r="I11" s="184" t="s">
        <v>215</v>
      </c>
    </row>
    <row r="12" spans="1:10" x14ac:dyDescent="0.25">
      <c r="B12" s="183" t="s">
        <v>75</v>
      </c>
      <c r="C12" s="190" t="s">
        <v>84</v>
      </c>
      <c r="D12" s="193">
        <v>2</v>
      </c>
      <c r="E12" s="188">
        <f>Forecasts!F28</f>
        <v>5749393</v>
      </c>
      <c r="F12" s="185">
        <f t="shared" si="1"/>
        <v>383.59447</v>
      </c>
      <c r="G12" s="185">
        <f t="shared" si="0"/>
        <v>2</v>
      </c>
      <c r="H12" s="185">
        <f>$D$9+D12</f>
        <v>244</v>
      </c>
      <c r="I12" s="185">
        <f>$D$11+D12</f>
        <v>339</v>
      </c>
    </row>
    <row r="13" spans="1:10" x14ac:dyDescent="0.25">
      <c r="B13" s="183" t="s">
        <v>216</v>
      </c>
      <c r="C13" s="206" t="s">
        <v>85</v>
      </c>
      <c r="D13" s="193">
        <v>24</v>
      </c>
      <c r="E13" s="188">
        <f>SUM(Forecasts!$F$16,Forecasts!$F$20,Forecasts!$F$21,Forecasts!$F$32)*'Reference VO 2017'!L24/SUM('Reference VO 2017'!$L$24:$L$35)</f>
        <v>4638451.3167578708</v>
      </c>
      <c r="F13" s="185">
        <f t="shared" si="1"/>
        <v>405.59447</v>
      </c>
      <c r="G13" s="185">
        <f t="shared" si="0"/>
        <v>24</v>
      </c>
      <c r="H13" s="185">
        <f t="shared" ref="H13:H18" si="2">$D$9-D13</f>
        <v>218</v>
      </c>
      <c r="I13" s="185">
        <f t="shared" ref="I13:I18" si="3">$D$11-D13</f>
        <v>313</v>
      </c>
      <c r="J13" s="185">
        <f t="shared" ref="J13:J19" si="4">$J$23+$D$23+D13</f>
        <v>262</v>
      </c>
    </row>
    <row r="14" spans="1:10" x14ac:dyDescent="0.25">
      <c r="B14" s="183" t="s">
        <v>112</v>
      </c>
      <c r="C14" s="190" t="s">
        <v>84</v>
      </c>
      <c r="D14" s="193">
        <v>78</v>
      </c>
      <c r="E14" s="188">
        <f>SUM(Forecasts!$F$16,Forecasts!$F$20,Forecasts!$F$21,Forecasts!$F$32)*'Reference VO 2017'!L25/SUM('Reference VO 2017'!$L$24:$L$35)</f>
        <v>0</v>
      </c>
      <c r="F14" s="185">
        <f t="shared" si="1"/>
        <v>459.59447</v>
      </c>
      <c r="G14" s="185">
        <f t="shared" si="0"/>
        <v>78</v>
      </c>
      <c r="H14" s="185">
        <f t="shared" si="2"/>
        <v>164</v>
      </c>
      <c r="I14" s="185">
        <f t="shared" si="3"/>
        <v>259</v>
      </c>
      <c r="J14" s="185">
        <f t="shared" si="4"/>
        <v>316</v>
      </c>
    </row>
    <row r="15" spans="1:10" x14ac:dyDescent="0.25">
      <c r="B15" s="183" t="s">
        <v>113</v>
      </c>
      <c r="C15" s="190" t="s">
        <v>84</v>
      </c>
      <c r="D15" s="193">
        <v>133</v>
      </c>
      <c r="E15" s="188">
        <f>SUM(Forecasts!$F$16,Forecasts!$F$20,Forecasts!$F$21,Forecasts!$F$32)*'Reference VO 2017'!L26/SUM('Reference VO 2017'!$L$24:$L$35)</f>
        <v>0</v>
      </c>
      <c r="F15" s="185">
        <f t="shared" si="1"/>
        <v>514.59447</v>
      </c>
      <c r="G15" s="185">
        <f t="shared" si="0"/>
        <v>133</v>
      </c>
      <c r="H15" s="185">
        <f t="shared" si="2"/>
        <v>109</v>
      </c>
      <c r="I15" s="185">
        <f t="shared" si="3"/>
        <v>204</v>
      </c>
      <c r="J15" s="185">
        <f t="shared" si="4"/>
        <v>371</v>
      </c>
    </row>
    <row r="16" spans="1:10" x14ac:dyDescent="0.25">
      <c r="B16" s="183" t="s">
        <v>114</v>
      </c>
      <c r="C16" s="190" t="s">
        <v>84</v>
      </c>
      <c r="D16" s="193">
        <v>185</v>
      </c>
      <c r="E16" s="188">
        <f>SUM(Forecasts!$F$16,Forecasts!$F$20,Forecasts!$F$21,Forecasts!$F$32)*'Reference VO 2017'!L27/SUM('Reference VO 2017'!$L$24:$L$35)</f>
        <v>0</v>
      </c>
      <c r="F16" s="185">
        <f t="shared" si="1"/>
        <v>566.59447</v>
      </c>
      <c r="G16" s="185">
        <f t="shared" si="0"/>
        <v>185</v>
      </c>
      <c r="H16" s="185">
        <f t="shared" si="2"/>
        <v>57</v>
      </c>
      <c r="I16" s="185">
        <f t="shared" si="3"/>
        <v>152</v>
      </c>
      <c r="J16" s="185">
        <f t="shared" si="4"/>
        <v>423</v>
      </c>
    </row>
    <row r="17" spans="2:10" x14ac:dyDescent="0.25">
      <c r="B17" s="183" t="s">
        <v>218</v>
      </c>
      <c r="C17" s="206" t="s">
        <v>85</v>
      </c>
      <c r="D17" s="193">
        <v>202</v>
      </c>
      <c r="E17" s="188">
        <f>SUM(Forecasts!$F$16,Forecasts!$F$20,Forecasts!$F$21,Forecasts!$F$32)*'Reference VO 2017'!L28/SUM('Reference VO 2017'!$L$24:$L$35)</f>
        <v>2380106.2018156853</v>
      </c>
      <c r="F17" s="185">
        <f t="shared" si="1"/>
        <v>583.59447</v>
      </c>
      <c r="G17" s="185">
        <f t="shared" si="0"/>
        <v>202</v>
      </c>
      <c r="H17" s="185">
        <f t="shared" si="2"/>
        <v>40</v>
      </c>
      <c r="I17" s="185">
        <f t="shared" si="3"/>
        <v>135</v>
      </c>
      <c r="J17" s="185">
        <f t="shared" si="4"/>
        <v>440</v>
      </c>
    </row>
    <row r="18" spans="2:10" x14ac:dyDescent="0.25">
      <c r="B18" s="183" t="s">
        <v>116</v>
      </c>
      <c r="C18" s="190" t="s">
        <v>84</v>
      </c>
      <c r="D18" s="193">
        <v>222</v>
      </c>
      <c r="E18" s="188">
        <f>SUM(Forecasts!$F$16,Forecasts!$F$20,Forecasts!$F$21,Forecasts!$F$32)*'Reference VO 2017'!L29/SUM('Reference VO 2017'!$L$24:$L$35)</f>
        <v>0</v>
      </c>
      <c r="F18" s="185">
        <f t="shared" si="1"/>
        <v>603.59447</v>
      </c>
      <c r="G18" s="185">
        <f t="shared" si="0"/>
        <v>222</v>
      </c>
      <c r="H18" s="185">
        <f t="shared" si="2"/>
        <v>20</v>
      </c>
      <c r="I18" s="185">
        <f t="shared" si="3"/>
        <v>115</v>
      </c>
      <c r="J18" s="185">
        <f t="shared" si="4"/>
        <v>460</v>
      </c>
    </row>
    <row r="19" spans="2:10" x14ac:dyDescent="0.25">
      <c r="B19" s="183" t="s">
        <v>117</v>
      </c>
      <c r="C19" s="190" t="s">
        <v>84</v>
      </c>
      <c r="D19" s="193">
        <v>0</v>
      </c>
      <c r="E19" s="188">
        <f>SUM(Forecasts!$F$16,Forecasts!$F$20,Forecasts!$F$21,Forecasts!$F$32)*'Reference VO 2017'!L30/SUM('Reference VO 2017'!$L$24:$L$35)</f>
        <v>21435837.871491425</v>
      </c>
      <c r="F19" s="185">
        <f>$D$5+D19+G19</f>
        <v>382.59447</v>
      </c>
      <c r="G19" s="184">
        <v>1</v>
      </c>
      <c r="H19" s="185">
        <f t="shared" ref="H19:H28" si="5">$D$9+D19</f>
        <v>242</v>
      </c>
      <c r="I19" s="185">
        <f t="shared" ref="I19:I28" si="6">$D$11+D19</f>
        <v>337</v>
      </c>
      <c r="J19" s="185">
        <f t="shared" si="4"/>
        <v>238</v>
      </c>
    </row>
    <row r="20" spans="2:10" x14ac:dyDescent="0.25">
      <c r="B20" s="183" t="s">
        <v>118</v>
      </c>
      <c r="C20" s="190" t="s">
        <v>84</v>
      </c>
      <c r="D20" s="195">
        <v>71.84778</v>
      </c>
      <c r="E20" s="188">
        <f>SUM(Forecasts!$F$16,Forecasts!$F$20,Forecasts!$F$21,Forecasts!$F$32)*'Reference VO 2017'!L31/SUM('Reference VO 2017'!$L$24:$L$35)</f>
        <v>1112179.7179908752</v>
      </c>
      <c r="F20" s="185">
        <f t="shared" ref="F20:F28" si="7">$D$5-D20</f>
        <v>309.74669</v>
      </c>
      <c r="G20" s="185">
        <f t="shared" si="0"/>
        <v>71.84778</v>
      </c>
      <c r="H20" s="185">
        <f t="shared" si="5"/>
        <v>313.84778</v>
      </c>
      <c r="I20" s="185">
        <f t="shared" si="6"/>
        <v>408.84778</v>
      </c>
      <c r="J20" s="185">
        <f>$J$23+$D$23-D20</f>
        <v>166.15222</v>
      </c>
    </row>
    <row r="21" spans="2:10" x14ac:dyDescent="0.25">
      <c r="B21" s="183" t="s">
        <v>119</v>
      </c>
      <c r="C21" s="190" t="s">
        <v>84</v>
      </c>
      <c r="D21" s="195">
        <v>137.48994999999999</v>
      </c>
      <c r="E21" s="188">
        <f>SUM(Forecasts!$F$16,Forecasts!$F$20,Forecasts!$F$21,Forecasts!$F$32)*'Reference VO 2017'!L32/SUM('Reference VO 2017'!$L$24:$L$35)</f>
        <v>166832.51107764588</v>
      </c>
      <c r="F21" s="185">
        <f t="shared" si="7"/>
        <v>244.10452000000001</v>
      </c>
      <c r="G21" s="185">
        <f t="shared" si="0"/>
        <v>137.48994999999999</v>
      </c>
      <c r="H21" s="185">
        <f t="shared" si="5"/>
        <v>379.48995000000002</v>
      </c>
      <c r="I21" s="185">
        <f t="shared" si="6"/>
        <v>474.48995000000002</v>
      </c>
      <c r="J21" s="185">
        <f t="shared" ref="J21:J22" si="8">$J$23+$D$23-D21</f>
        <v>100.51005000000001</v>
      </c>
    </row>
    <row r="22" spans="2:10" x14ac:dyDescent="0.25">
      <c r="B22" s="183" t="s">
        <v>120</v>
      </c>
      <c r="C22" s="190" t="s">
        <v>84</v>
      </c>
      <c r="D22" s="195">
        <v>180.23273</v>
      </c>
      <c r="E22" s="188">
        <f>SUM(Forecasts!$F$16,Forecasts!$F$20,Forecasts!$F$21,Forecasts!$F$32)*'Reference VO 2017'!L33/SUM('Reference VO 2017'!$L$24:$L$35)</f>
        <v>221573.81902899174</v>
      </c>
      <c r="F22" s="185">
        <f t="shared" si="7"/>
        <v>201.36174</v>
      </c>
      <c r="G22" s="185">
        <f t="shared" si="0"/>
        <v>180.23273</v>
      </c>
      <c r="H22" s="185">
        <f t="shared" si="5"/>
        <v>422.23273</v>
      </c>
      <c r="I22" s="185">
        <f t="shared" si="6"/>
        <v>517.23272999999995</v>
      </c>
      <c r="J22" s="185">
        <f t="shared" si="8"/>
        <v>57.767269999999996</v>
      </c>
    </row>
    <row r="23" spans="2:10" x14ac:dyDescent="0.25">
      <c r="B23" s="183" t="s">
        <v>121</v>
      </c>
      <c r="C23" s="190" t="s">
        <v>84</v>
      </c>
      <c r="D23" s="195">
        <v>210.69001</v>
      </c>
      <c r="E23" s="188">
        <f>SUM(Forecasts!$F$16,Forecasts!$F$20,Forecasts!$F$21,Forecasts!$F$32)*'Reference VO 2017'!L34/SUM('Reference VO 2017'!$L$24:$L$35)</f>
        <v>1953731.7695994142</v>
      </c>
      <c r="F23" s="185">
        <f t="shared" si="7"/>
        <v>170.90446</v>
      </c>
      <c r="G23" s="185">
        <f t="shared" si="0"/>
        <v>210.69001</v>
      </c>
      <c r="H23" s="185">
        <f t="shared" si="5"/>
        <v>452.69001000000003</v>
      </c>
      <c r="I23" s="185">
        <f t="shared" si="6"/>
        <v>547.69001000000003</v>
      </c>
      <c r="J23" s="185">
        <f>D8-D23</f>
        <v>27.309989999999999</v>
      </c>
    </row>
    <row r="24" spans="2:10" x14ac:dyDescent="0.25">
      <c r="B24" s="183" t="s">
        <v>122</v>
      </c>
      <c r="C24" s="190" t="s">
        <v>84</v>
      </c>
      <c r="D24" s="195">
        <v>231.34958</v>
      </c>
      <c r="E24" s="188">
        <f>SUM(Forecasts!$F$16,Forecasts!$F$20,Forecasts!$F$21,Forecasts!$F$32)*'Reference VO 2017'!L35/SUM('Reference VO 2017'!$L$24:$L$35)</f>
        <v>110523.24908740699</v>
      </c>
      <c r="F24" s="185">
        <f t="shared" si="7"/>
        <v>150.24489</v>
      </c>
      <c r="G24" s="185">
        <f t="shared" si="0"/>
        <v>231.34958</v>
      </c>
      <c r="H24" s="185">
        <f t="shared" si="5"/>
        <v>473.34958</v>
      </c>
      <c r="I24" s="185">
        <f t="shared" si="6"/>
        <v>568.34958000000006</v>
      </c>
      <c r="J24" s="185">
        <f>D8-D23+D24-D23</f>
        <v>47.96956000000003</v>
      </c>
    </row>
    <row r="25" spans="2:10" x14ac:dyDescent="0.25">
      <c r="B25" s="183" t="s">
        <v>123</v>
      </c>
      <c r="C25" s="190" t="s">
        <v>84</v>
      </c>
      <c r="D25" s="195">
        <v>268.73602</v>
      </c>
      <c r="E25" s="188">
        <f>Forecasts!$F$33*'Reference VO 2017'!L36/SUM('Reference VO 2017'!$L$36:$L$39)</f>
        <v>55223</v>
      </c>
      <c r="F25" s="185">
        <f t="shared" si="7"/>
        <v>112.85845</v>
      </c>
      <c r="G25" s="185">
        <f t="shared" si="0"/>
        <v>268.73602</v>
      </c>
      <c r="H25" s="185">
        <f t="shared" si="5"/>
        <v>510.73602</v>
      </c>
      <c r="I25" s="185">
        <f t="shared" si="6"/>
        <v>605.73602000000005</v>
      </c>
      <c r="J25" s="185">
        <f>$D$8+D25-2*$D$23</f>
        <v>85.355999999999995</v>
      </c>
    </row>
    <row r="26" spans="2:10" x14ac:dyDescent="0.25">
      <c r="B26" s="183" t="s">
        <v>124</v>
      </c>
      <c r="C26" s="190" t="s">
        <v>84</v>
      </c>
      <c r="D26" s="195">
        <v>300.39652000000001</v>
      </c>
      <c r="E26" s="188">
        <f>Forecasts!$F$33*'Reference VO 2017'!L37/SUM('Reference VO 2017'!$L$36:$L$39)</f>
        <v>22022</v>
      </c>
      <c r="F26" s="185">
        <f t="shared" si="7"/>
        <v>81.197949999999992</v>
      </c>
      <c r="G26" s="185">
        <f t="shared" si="0"/>
        <v>300.39652000000001</v>
      </c>
      <c r="H26" s="185">
        <f t="shared" si="5"/>
        <v>542.39652000000001</v>
      </c>
      <c r="I26" s="185">
        <f t="shared" si="6"/>
        <v>637.39652000000001</v>
      </c>
      <c r="J26" s="185">
        <f t="shared" ref="J26:J28" si="9">$D$8+D26-2*$D$23</f>
        <v>117.01650000000001</v>
      </c>
    </row>
    <row r="27" spans="2:10" x14ac:dyDescent="0.25">
      <c r="B27" s="183" t="s">
        <v>125</v>
      </c>
      <c r="C27" s="190" t="s">
        <v>84</v>
      </c>
      <c r="D27" s="195">
        <v>320.51218999999998</v>
      </c>
      <c r="E27" s="188">
        <f>Forecasts!$F$33*'Reference VO 2017'!L38/SUM('Reference VO 2017'!$L$36:$L$39)</f>
        <v>110087</v>
      </c>
      <c r="F27" s="185">
        <f t="shared" si="7"/>
        <v>61.082280000000026</v>
      </c>
      <c r="G27" s="185">
        <f t="shared" si="0"/>
        <v>320.51218999999998</v>
      </c>
      <c r="H27" s="185">
        <f t="shared" si="5"/>
        <v>562.51218999999992</v>
      </c>
      <c r="I27" s="185">
        <f t="shared" si="6"/>
        <v>657.51218999999992</v>
      </c>
      <c r="J27" s="185">
        <f t="shared" si="9"/>
        <v>137.13216999999992</v>
      </c>
    </row>
    <row r="28" spans="2:10" x14ac:dyDescent="0.25">
      <c r="B28" s="183" t="s">
        <v>126</v>
      </c>
      <c r="C28" s="190" t="s">
        <v>84</v>
      </c>
      <c r="D28" s="195">
        <v>361.42469</v>
      </c>
      <c r="E28" s="188">
        <f>Forecasts!$F$33*'Reference VO 2017'!L39/SUM('Reference VO 2017'!$L$36:$L$39)</f>
        <v>284539</v>
      </c>
      <c r="F28" s="185">
        <f t="shared" si="7"/>
        <v>20.169780000000003</v>
      </c>
      <c r="G28" s="185">
        <f t="shared" si="0"/>
        <v>361.42469</v>
      </c>
      <c r="H28" s="185">
        <f t="shared" si="5"/>
        <v>603.42469000000006</v>
      </c>
      <c r="I28" s="185">
        <f t="shared" si="6"/>
        <v>698.42469000000006</v>
      </c>
      <c r="J28" s="185">
        <f t="shared" si="9"/>
        <v>178.04467000000005</v>
      </c>
    </row>
    <row r="29" spans="2:10" x14ac:dyDescent="0.25">
      <c r="B29" s="183" t="s">
        <v>217</v>
      </c>
      <c r="C29" s="190" t="s">
        <v>84</v>
      </c>
      <c r="D29" s="193">
        <v>334</v>
      </c>
      <c r="E29" s="188">
        <f>Forecasts!F25</f>
        <v>2950825</v>
      </c>
      <c r="F29" s="185">
        <f>$D$5+D29</f>
        <v>715.59447</v>
      </c>
      <c r="G29" s="185">
        <f>D29</f>
        <v>334</v>
      </c>
      <c r="H29" s="185">
        <f>-$D$9+D29</f>
        <v>92</v>
      </c>
      <c r="I29" s="185">
        <f>$D$11-D29</f>
        <v>3</v>
      </c>
    </row>
    <row r="30" spans="2:10" x14ac:dyDescent="0.25">
      <c r="F30" s="37"/>
      <c r="G30" s="86"/>
      <c r="H30" s="37"/>
      <c r="I30" s="37"/>
    </row>
    <row r="31" spans="2:10" x14ac:dyDescent="0.25">
      <c r="F31" s="37"/>
      <c r="G31" s="86"/>
      <c r="H31" s="37"/>
      <c r="I31" s="37"/>
    </row>
    <row r="32" spans="2:10" x14ac:dyDescent="0.25">
      <c r="H32" s="37"/>
      <c r="I32" s="37"/>
    </row>
    <row r="33" spans="6:9" x14ac:dyDescent="0.25">
      <c r="H33" s="37"/>
      <c r="I33" s="37"/>
    </row>
    <row r="34" spans="6:9" x14ac:dyDescent="0.25">
      <c r="F34" s="37"/>
      <c r="G34" s="86"/>
      <c r="H34" s="37"/>
      <c r="I34" s="37"/>
    </row>
    <row r="35" spans="6:9" x14ac:dyDescent="0.25">
      <c r="F35" s="37"/>
      <c r="G35" s="86"/>
      <c r="H35" s="37"/>
      <c r="I35" s="37"/>
    </row>
    <row r="36" spans="6:9" x14ac:dyDescent="0.25">
      <c r="F36" s="37"/>
      <c r="G36" s="86"/>
      <c r="H36" s="37"/>
      <c r="I36" s="37"/>
    </row>
    <row r="37" spans="6:9" x14ac:dyDescent="0.25">
      <c r="F37" s="37"/>
      <c r="G37" s="86"/>
      <c r="H37" s="37"/>
      <c r="I37" s="37"/>
    </row>
    <row r="38" spans="6:9" x14ac:dyDescent="0.25">
      <c r="F38" s="37"/>
      <c r="G38" s="86"/>
      <c r="H38" s="37"/>
      <c r="I38" s="37"/>
    </row>
    <row r="39" spans="6:9" x14ac:dyDescent="0.25">
      <c r="F39" s="37"/>
      <c r="G39" s="86"/>
      <c r="H39" s="37"/>
      <c r="I39" s="37"/>
    </row>
    <row r="40" spans="6:9" x14ac:dyDescent="0.25">
      <c r="F40" s="37"/>
      <c r="G40" s="86"/>
      <c r="H40" s="37"/>
      <c r="I40" s="37"/>
    </row>
    <row r="41" spans="6:9" x14ac:dyDescent="0.25">
      <c r="F41" s="37"/>
      <c r="G41" s="86"/>
      <c r="H41" s="37"/>
      <c r="I41" s="37"/>
    </row>
    <row r="42" spans="6:9" x14ac:dyDescent="0.25">
      <c r="F42" s="37"/>
      <c r="G42" s="86"/>
      <c r="H42" s="37"/>
      <c r="I42" s="37"/>
    </row>
    <row r="43" spans="6:9" x14ac:dyDescent="0.25">
      <c r="F43" s="37"/>
      <c r="G43" s="86"/>
      <c r="H43" s="37"/>
      <c r="I43" s="37"/>
    </row>
    <row r="44" spans="6:9" x14ac:dyDescent="0.25">
      <c r="F44" s="37"/>
      <c r="G44" s="86"/>
      <c r="H44" s="37"/>
      <c r="I44" s="37"/>
    </row>
    <row r="45" spans="6:9" x14ac:dyDescent="0.25">
      <c r="F45" s="37"/>
      <c r="G45" s="86"/>
      <c r="H45" s="37"/>
      <c r="I45" s="37"/>
    </row>
    <row r="46" spans="6:9" x14ac:dyDescent="0.25">
      <c r="F46" s="37"/>
      <c r="G46" s="86"/>
      <c r="H46" s="37"/>
      <c r="I46" s="37"/>
    </row>
    <row r="47" spans="6:9" x14ac:dyDescent="0.25">
      <c r="F47" s="37"/>
      <c r="G47" s="86"/>
      <c r="H47" s="37"/>
      <c r="I47" s="37"/>
    </row>
    <row r="48" spans="6:9" x14ac:dyDescent="0.25">
      <c r="F48" s="37"/>
    </row>
    <row r="49" spans="6:6" x14ac:dyDescent="0.25">
      <c r="F49" s="37"/>
    </row>
    <row r="50" spans="6:6" x14ac:dyDescent="0.25">
      <c r="F50" s="37"/>
    </row>
    <row r="51" spans="6:6" x14ac:dyDescent="0.25">
      <c r="F51" s="37"/>
    </row>
    <row r="52" spans="6:6" x14ac:dyDescent="0.25">
      <c r="F52" s="37"/>
    </row>
    <row r="53" spans="6:6" x14ac:dyDescent="0.25">
      <c r="F53" s="37"/>
    </row>
    <row r="54" spans="6:6" x14ac:dyDescent="0.25">
      <c r="F54" s="37"/>
    </row>
    <row r="55" spans="6:6" x14ac:dyDescent="0.25">
      <c r="F55" s="37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21</vt:i4>
      </vt:variant>
      <vt:variant>
        <vt:lpstr>Benannte Bereiche</vt:lpstr>
      </vt:variant>
      <vt:variant>
        <vt:i4>23</vt:i4>
      </vt:variant>
    </vt:vector>
  </HeadingPairs>
  <TitlesOfParts>
    <vt:vector size="44" baseType="lpstr">
      <vt:lpstr>Reference price simulation</vt:lpstr>
      <vt:lpstr>Input&gt;</vt:lpstr>
      <vt:lpstr>Costs</vt:lpstr>
      <vt:lpstr>Forecasted contracted capacity</vt:lpstr>
      <vt:lpstr>Overview</vt:lpstr>
      <vt:lpstr>Calc&gt;Tariffs</vt:lpstr>
      <vt:lpstr>VTPB</vt:lpstr>
      <vt:lpstr>VTPB_NICT</vt:lpstr>
      <vt:lpstr>CAA</vt:lpstr>
      <vt:lpstr>Calc&gt;Benchmark</vt:lpstr>
      <vt:lpstr>Benchmark</vt:lpstr>
      <vt:lpstr>CommCalc SI</vt:lpstr>
      <vt:lpstr>Tariffs FGSZ</vt:lpstr>
      <vt:lpstr>Calc CWD&gt;</vt:lpstr>
      <vt:lpstr>CWD Weights</vt:lpstr>
      <vt:lpstr>CWD Tariffs</vt:lpstr>
      <vt:lpstr>Parameters&gt;</vt:lpstr>
      <vt:lpstr>Costscalc</vt:lpstr>
      <vt:lpstr>Reference VO 2017</vt:lpstr>
      <vt:lpstr>Forecasts</vt:lpstr>
      <vt:lpstr>Distances</vt:lpstr>
      <vt:lpstr>VTPB_NICT!base_tariff_entry_comm</vt:lpstr>
      <vt:lpstr>VTPB_NICT!base_tariff_exit_comm</vt:lpstr>
      <vt:lpstr>benchmark_m</vt:lpstr>
      <vt:lpstr>costs_capacity</vt:lpstr>
      <vt:lpstr>VTPB_NICT!costs_commodity</vt:lpstr>
      <vt:lpstr>costs_GCA</vt:lpstr>
      <vt:lpstr>costs_GCA_var</vt:lpstr>
      <vt:lpstr>costs_TAG</vt:lpstr>
      <vt:lpstr>costs_TAG_var</vt:lpstr>
      <vt:lpstr>CT_apply</vt:lpstr>
      <vt:lpstr>CT_included</vt:lpstr>
      <vt:lpstr>CWD_DZK</vt:lpstr>
      <vt:lpstr>diff_MuMo_act</vt:lpstr>
      <vt:lpstr>diff_MuMo_plan</vt:lpstr>
      <vt:lpstr>discount_DZK</vt:lpstr>
      <vt:lpstr>discount_storage_entry</vt:lpstr>
      <vt:lpstr>discount_storage_exit</vt:lpstr>
      <vt:lpstr>EX_split_entry_theor</vt:lpstr>
      <vt:lpstr>VTPB_NICT!EX_split_entry_theor_comm</vt:lpstr>
      <vt:lpstr>GCV</vt:lpstr>
      <vt:lpstr>max_increase</vt:lpstr>
      <vt:lpstr>VTPB_NICT!rescaling_entry_comm</vt:lpstr>
      <vt:lpstr>VTPB_NICT!rescaling_exit_comm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Röder Gerald</dc:creator>
  <cp:lastModifiedBy>Markus Krug</cp:lastModifiedBy>
  <dcterms:created xsi:type="dcterms:W3CDTF">2018-10-09T15:02:03Z</dcterms:created>
  <dcterms:modified xsi:type="dcterms:W3CDTF">2019-01-30T17:54:43Z</dcterms:modified>
</cp:coreProperties>
</file>