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codeName="DieseArbeitsmappe" defaultThemeVersion="124226"/>
  <mc:AlternateContent xmlns:mc="http://schemas.openxmlformats.org/markup-compatibility/2006">
    <mc:Choice Requires="x15">
      <x15ac:absPath xmlns:x15ac="http://schemas.microsoft.com/office/spreadsheetml/2010/11/ac" url="L:\Gas\02 - Projekte und Fachthemen\01 - Erledigungsordner\fpu\Gasmarkt\Tarifierung\Tarife_FLN_Excel-Tool\Finale XLSX\"/>
    </mc:Choice>
  </mc:AlternateContent>
  <xr:revisionPtr revIDLastSave="0" documentId="13_ncr:1_{5273449F-078D-498E-BAC9-B894C0E4084F}" xr6:coauthVersionLast="47" xr6:coauthVersionMax="47" xr10:uidLastSave="{00000000-0000-0000-0000-000000000000}"/>
  <workbookProtection workbookAlgorithmName="SHA-512" workbookHashValue="4jzjhCLNDfYCm2iCQlR/hKg19GX/lhDMQcmU6Dts6bu8Q4xZPPgSLEccX48xJ/liAHiys7Xezrfex1fFUOJevg==" workbookSaltValue="rDQY44O9tMPuP2H92idczQ==" workbookSpinCount="100000" lockStructure="1"/>
  <bookViews>
    <workbookView xWindow="18885" yWindow="285" windowWidth="28350" windowHeight="20190" tabRatio="796" xr2:uid="{B0031580-3B56-4299-9C7E-D1BB85208087}"/>
  </bookViews>
  <sheets>
    <sheet name="Tariff simulation" sheetId="186" r:id="rId1"/>
    <sheet name="Tariff_SimCalculation" sheetId="182" state="hidden" r:id="rId2"/>
    <sheet name="CWD 2025_V1" sheetId="183" state="hidden" r:id="rId3"/>
    <sheet name="CWD 2026_V1" sheetId="184" state="hidden" r:id="rId4"/>
    <sheet name="CWD 2027_V1" sheetId="185" state="hidden" r:id="rId5"/>
  </sheets>
  <definedNames>
    <definedName name="_" hidden="1">#REF!</definedName>
    <definedName name="____as1" hidden="1">{"costo totale",#N/A,FALSE,"Risorse e R&amp;D 5";"costi unitari",#N/A,FALSE,"Risorse e R&amp;D 5";"n° addetti",#N/A,FALSE,"Risorse e R&amp;D 5";#N/A,#N/A,FALSE,"Risorse e R&amp;D 5"}</definedName>
    <definedName name="____AVP1" hidden="1">{"page 1",#N/A,FALSE,"A";"page 2",#N/A,FALSE,"A";"page 3",#N/A,FALSE,"A";"page 4",#N/A,FALSE,"A";"page 5",#N/A,FALSE,"A";"page 6",#N/A,FALSE,"A";"page 7",#N/A,FALSE,"A";"page 8",#N/A,FALSE,"A";"page 9",#N/A,FALSE,"A";"page 10",#N/A,FALSE,"A";"page 11",#N/A,FALSE,"A";"page 12",#N/A,FALSE,"A";"page 13",#N/A,FALSE,"A";"page 14",#N/A,FALSE,"A"}</definedName>
    <definedName name="____avp2" hidden="1">{"page 1",#N/A,FALSE,"A";"page 2",#N/A,FALSE,"A";"page 3",#N/A,FALSE,"A";"page 4",#N/A,FALSE,"A";"page 5",#N/A,FALSE,"A";"page 6",#N/A,FALSE,"A";"page 7",#N/A,FALSE,"A";"page 8",#N/A,FALSE,"A";"page 9",#N/A,FALSE,"A";"page 10",#N/A,FALSE,"A";"page 11",#N/A,FALSE,"A";"page 12",#N/A,FALSE,"A";"page 13",#N/A,FALSE,"A";"page 14",#N/A,FALSE,"A"}</definedName>
    <definedName name="____avp3" hidden="1">{"page 1",#N/A,FALSE,"A";"page 2",#N/A,FALSE,"A";"page 3",#N/A,FALSE,"A";"page 4",#N/A,FALSE,"A";"page 5",#N/A,FALSE,"A";"page 6",#N/A,FALSE,"A";"page 7",#N/A,FALSE,"A";"page 8",#N/A,FALSE,"A";"page 9",#N/A,FALSE,"A";"page 10",#N/A,FALSE,"A";"page 11",#N/A,FALSE,"A";"page 12",#N/A,FALSE,"A";"page 13",#N/A,FALSE,"A";"page 14",#N/A,FALSE,"A"}</definedName>
    <definedName name="____b2" hidden="1">{"page 1",#N/A,FALSE,"A";"page 2",#N/A,FALSE,"A";"page 3",#N/A,FALSE,"A";"page 4",#N/A,FALSE,"A";"page 5",#N/A,FALSE,"A";"page 6",#N/A,FALSE,"A";"page 7",#N/A,FALSE,"A";"page 8",#N/A,FALSE,"A";"page 9",#N/A,FALSE,"A";"page 10",#N/A,FALSE,"A";"page 11",#N/A,FALSE,"A";"page 12",#N/A,FALSE,"A";"page 13",#N/A,FALSE,"A";"page 14",#N/A,FALSE,"A"}</definedName>
    <definedName name="____cc1" hidden="1">{#N/A,#N/A,FALSE,"1";#N/A,#N/A,FALSE,"2";#N/A,#N/A,FALSE,"3";#N/A,#N/A,FALSE,"4";#N/A,#N/A,FALSE,"5";#N/A,#N/A,FALSE,"6";#N/A,#N/A,FALSE,"7";#N/A,#N/A,FALSE,"8";#N/A,#N/A,FALSE,"9";#N/A,#N/A,FALSE,"10";#N/A,#N/A,FALSE,"11";#N/A,#N/A,FALSE,"12";#N/A,#N/A,FALSE,"13";#N/A,#N/A,FALSE,"14";#N/A,#N/A,FALSE,"15";#N/A,#N/A,FALSE,"A1";#N/A,#N/A,FALSE,"A2";#N/A,#N/A,FALSE,"A3"}</definedName>
    <definedName name="___cc1" hidden="1">{#N/A,#N/A,FALSE,"1";#N/A,#N/A,FALSE,"2";#N/A,#N/A,FALSE,"3";#N/A,#N/A,FALSE,"4";#N/A,#N/A,FALSE,"5";#N/A,#N/A,FALSE,"6";#N/A,#N/A,FALSE,"7";#N/A,#N/A,FALSE,"8";#N/A,#N/A,FALSE,"9";#N/A,#N/A,FALSE,"10";#N/A,#N/A,FALSE,"11";#N/A,#N/A,FALSE,"12";#N/A,#N/A,FALSE,"13";#N/A,#N/A,FALSE,"14";#N/A,#N/A,FALSE,"15";#N/A,#N/A,FALSE,"A1";#N/A,#N/A,FALSE,"A2";#N/A,#N/A,FALSE,"A3"}</definedName>
    <definedName name="___tu7" hidden="1">{"sales",#N/A,FALSE,"Sales";"sales existing",#N/A,FALSE,"Sales";"sales rd1",#N/A,FALSE,"Sales";"sales rd2",#N/A,FALSE,"Sales"}</definedName>
    <definedName name="__123Graph_AAGIPGR" hidden="1">#REF!</definedName>
    <definedName name="__123Graph_ASENS" hidden="1">#REF!</definedName>
    <definedName name="__123Graph_BSENS" hidden="1">#REF!</definedName>
    <definedName name="__123Graph_CSENS" hidden="1">#REF!</definedName>
    <definedName name="__123Graph_LBL_AAGIPGR" hidden="1">#REF!</definedName>
    <definedName name="__123Graph_LBL_ASENS" hidden="1">#REF!</definedName>
    <definedName name="__123Graph_LBL_BSENS" hidden="1">#REF!</definedName>
    <definedName name="__123Graph_LBL_CSENS" hidden="1">#REF!</definedName>
    <definedName name="__123Graph_XAGIPGR" hidden="1">#REF!</definedName>
    <definedName name="__123Graph_XSENS" hidden="1">#REF!</definedName>
    <definedName name="__as1" hidden="1">{"costo totale",#N/A,FALSE,"Risorse e R&amp;D 5";"costi unitari",#N/A,FALSE,"Risorse e R&amp;D 5";"n° addetti",#N/A,FALSE,"Risorse e R&amp;D 5";#N/A,#N/A,FALSE,"Risorse e R&amp;D 5"}</definedName>
    <definedName name="__AVP1" hidden="1">{"page 1",#N/A,FALSE,"A";"page 2",#N/A,FALSE,"A";"page 3",#N/A,FALSE,"A";"page 4",#N/A,FALSE,"A";"page 5",#N/A,FALSE,"A";"page 6",#N/A,FALSE,"A";"page 7",#N/A,FALSE,"A";"page 8",#N/A,FALSE,"A";"page 9",#N/A,FALSE,"A";"page 10",#N/A,FALSE,"A";"page 11",#N/A,FALSE,"A";"page 12",#N/A,FALSE,"A";"page 13",#N/A,FALSE,"A";"page 14",#N/A,FALSE,"A"}</definedName>
    <definedName name="__avp2" hidden="1">{"page 1",#N/A,FALSE,"A";"page 2",#N/A,FALSE,"A";"page 3",#N/A,FALSE,"A";"page 4",#N/A,FALSE,"A";"page 5",#N/A,FALSE,"A";"page 6",#N/A,FALSE,"A";"page 7",#N/A,FALSE,"A";"page 8",#N/A,FALSE,"A";"page 9",#N/A,FALSE,"A";"page 10",#N/A,FALSE,"A";"page 11",#N/A,FALSE,"A";"page 12",#N/A,FALSE,"A";"page 13",#N/A,FALSE,"A";"page 14",#N/A,FALSE,"A"}</definedName>
    <definedName name="__avp3" hidden="1">{"page 1",#N/A,FALSE,"A";"page 2",#N/A,FALSE,"A";"page 3",#N/A,FALSE,"A";"page 4",#N/A,FALSE,"A";"page 5",#N/A,FALSE,"A";"page 6",#N/A,FALSE,"A";"page 7",#N/A,FALSE,"A";"page 8",#N/A,FALSE,"A";"page 9",#N/A,FALSE,"A";"page 10",#N/A,FALSE,"A";"page 11",#N/A,FALSE,"A";"page 12",#N/A,FALSE,"A";"page 13",#N/A,FALSE,"A";"page 14",#N/A,FALSE,"A"}</definedName>
    <definedName name="__b2" hidden="1">{"page 1",#N/A,FALSE,"A";"page 2",#N/A,FALSE,"A";"page 3",#N/A,FALSE,"A";"page 4",#N/A,FALSE,"A";"page 5",#N/A,FALSE,"A";"page 6",#N/A,FALSE,"A";"page 7",#N/A,FALSE,"A";"page 8",#N/A,FALSE,"A";"page 9",#N/A,FALSE,"A";"page 10",#N/A,FALSE,"A";"page 11",#N/A,FALSE,"A";"page 12",#N/A,FALSE,"A";"page 13",#N/A,FALSE,"A";"page 14",#N/A,FALSE,"A"}</definedName>
    <definedName name="__c" hidden="1">{#N/A,#N/A,FALSE,"Layout Cash Flow"}</definedName>
    <definedName name="__cc1" hidden="1">{#N/A,#N/A,FALSE,"1";#N/A,#N/A,FALSE,"2";#N/A,#N/A,FALSE,"3";#N/A,#N/A,FALSE,"4";#N/A,#N/A,FALSE,"5";#N/A,#N/A,FALSE,"6";#N/A,#N/A,FALSE,"7";#N/A,#N/A,FALSE,"8";#N/A,#N/A,FALSE,"9";#N/A,#N/A,FALSE,"10";#N/A,#N/A,FALSE,"11";#N/A,#N/A,FALSE,"12";#N/A,#N/A,FALSE,"13";#N/A,#N/A,FALSE,"14";#N/A,#N/A,FALSE,"15";#N/A,#N/A,FALSE,"A1";#N/A,#N/A,FALSE,"A2";#N/A,#N/A,FALSE,"A3"}</definedName>
    <definedName name="__FDS_HYPERLINK_TOGGLE_STATE__" hidden="1">"ON"</definedName>
    <definedName name="__re34" hidden="1">{"Deckbl",#N/A,FALSE,"Deckblatt";"Eckzahlen",#N/A,FALSE,"Eckzahlen";"Bilanz",#N/A,FALSE,"Bilanz";"GuV",#N/A,FALSE,"GUV";"GuvScha_Wa",#N/A,FALSE,"GuvScha+Wa";"guvgi",#N/A,FALSE,"GuvGI";"guvdd",#N/A,FALSE,"GuvDD";#N/A,#N/A,FALSE,"Guv3D";"guvwaren",#N/A,FALSE,"GuvWaren";"guvbestückung",#N/A,FALSE,"GuvBestück";"guvprojek",#N/A,FALSE,"GuvProjek";"guvesr",#N/A,FALSE,"GuvESR";"investalt.",#N/A,FALSE,"Invest alt.";"aventw",#N/A,FALSE,"AV-Entw.";"personal",#N/A,FALSE,"Persaufw";"personal2",#N/A,FALSE,"Persaufw";"pmgerüst",#N/A,FALSE,"Preis-Mengen-Gerüst";"cflow1",#N/A,FALSE,"CashFlow";"cflow2",#N/A,FALSE,"CashFlow";"cflow3",#N/A,FALSE,"CashFlow";"FCF",#N/A,FALSE,"Unternehmensbewertung DCF";"WACC",#N/A,FALSE,"Unternehmensbewertung DCF";"Wert",#N/A,FALSE,"Unternehmensbewertung DCF"}</definedName>
    <definedName name="__tu7" hidden="1">{"sales",#N/A,FALSE,"Sales";"sales existing",#N/A,FALSE,"Sales";"sales rd1",#N/A,FALSE,"Sales";"sales rd2",#N/A,FALSE,"Sales"}</definedName>
    <definedName name="_1__123Graph_ACHART_1" hidden="1">#REF!</definedName>
    <definedName name="_16__123Graph_ACHART_1" hidden="1">#REF!</definedName>
    <definedName name="_17__123Graph_BCHART_1" hidden="1">#REF!</definedName>
    <definedName name="_18__123Graph_CCHART_1" hidden="1">#REF!</definedName>
    <definedName name="_19__123Graph_LBL_ACHART_1" hidden="1">#REF!</definedName>
    <definedName name="_2__123Graph_ACHART_1" hidden="1">#REF!</definedName>
    <definedName name="_2__123Graph_BCHART_1" hidden="1">#REF!</definedName>
    <definedName name="_20__123Graph_LBL_BCHART_1" hidden="1">#REF!</definedName>
    <definedName name="_21__123Graph_LBL_CCHART_1" hidden="1">#REF!</definedName>
    <definedName name="_3__123Graph_BCHART_1" hidden="1">#REF!</definedName>
    <definedName name="_3__123Graph_CCHART_1" hidden="1">#REF!</definedName>
    <definedName name="_4__123Graph_CCHART_1" hidden="1">#REF!</definedName>
    <definedName name="_4__123Graph_LBL_ACHART_1" hidden="1">#REF!</definedName>
    <definedName name="_5__123Graph_LBL_ACHART_1" hidden="1">#REF!</definedName>
    <definedName name="_5__123Graph_LBL_BCHART_1" hidden="1">#REF!</definedName>
    <definedName name="_6__123Graph_LBL_BCHART_1" hidden="1">#REF!</definedName>
    <definedName name="_6__123Graph_LBL_CCHART_1" hidden="1">#REF!</definedName>
    <definedName name="_7__123Graph_LBL_CCHART_1" hidden="1">#REF!</definedName>
    <definedName name="_a" hidden="1">#REF!</definedName>
    <definedName name="_as1" hidden="1">{"costo totale",#N/A,FALSE,"Risorse e R&amp;D 5";"costi unitari",#N/A,FALSE,"Risorse e R&amp;D 5";"n° addetti",#N/A,FALSE,"Risorse e R&amp;D 5";#N/A,#N/A,FALSE,"Risorse e R&amp;D 5"}</definedName>
    <definedName name="_AVP1" hidden="1">{"page 1",#N/A,FALSE,"A";"page 2",#N/A,FALSE,"A";"page 3",#N/A,FALSE,"A";"page 4",#N/A,FALSE,"A";"page 5",#N/A,FALSE,"A";"page 6",#N/A,FALSE,"A";"page 7",#N/A,FALSE,"A";"page 8",#N/A,FALSE,"A";"page 9",#N/A,FALSE,"A";"page 10",#N/A,FALSE,"A";"page 11",#N/A,FALSE,"A";"page 12",#N/A,FALSE,"A";"page 13",#N/A,FALSE,"A";"page 14",#N/A,FALSE,"A"}</definedName>
    <definedName name="_avp2" hidden="1">{"page 1",#N/A,FALSE,"A";"page 2",#N/A,FALSE,"A";"page 3",#N/A,FALSE,"A";"page 4",#N/A,FALSE,"A";"page 5",#N/A,FALSE,"A";"page 6",#N/A,FALSE,"A";"page 7",#N/A,FALSE,"A";"page 8",#N/A,FALSE,"A";"page 9",#N/A,FALSE,"A";"page 10",#N/A,FALSE,"A";"page 11",#N/A,FALSE,"A";"page 12",#N/A,FALSE,"A";"page 13",#N/A,FALSE,"A";"page 14",#N/A,FALSE,"A"}</definedName>
    <definedName name="_avp3" hidden="1">{"page 1",#N/A,FALSE,"A";"page 2",#N/A,FALSE,"A";"page 3",#N/A,FALSE,"A";"page 4",#N/A,FALSE,"A";"page 5",#N/A,FALSE,"A";"page 6",#N/A,FALSE,"A";"page 7",#N/A,FALSE,"A";"page 8",#N/A,FALSE,"A";"page 9",#N/A,FALSE,"A";"page 10",#N/A,FALSE,"A";"page 11",#N/A,FALSE,"A";"page 12",#N/A,FALSE,"A";"page 13",#N/A,FALSE,"A";"page 14",#N/A,FALSE,"A"}</definedName>
    <definedName name="_b2" hidden="1">{"page 1",#N/A,FALSE,"A";"page 2",#N/A,FALSE,"A";"page 3",#N/A,FALSE,"A";"page 4",#N/A,FALSE,"A";"page 5",#N/A,FALSE,"A";"page 6",#N/A,FALSE,"A";"page 7",#N/A,FALSE,"A";"page 8",#N/A,FALSE,"A";"page 9",#N/A,FALSE,"A";"page 10",#N/A,FALSE,"A";"page 11",#N/A,FALSE,"A";"page 12",#N/A,FALSE,"A";"page 13",#N/A,FALSE,"A";"page 14",#N/A,FALSE,"A"}</definedName>
    <definedName name="_BQ4.1" hidden="1">#REF!</definedName>
    <definedName name="_BQ4.10" hidden="1">#REF!</definedName>
    <definedName name="_BQ4.19" hidden="1">#REF!</definedName>
    <definedName name="_BQ4.21" hidden="1">#REF!</definedName>
    <definedName name="_BQ4.22" hidden="1">#REF!</definedName>
    <definedName name="_BQ4.23" hidden="1">#REF!</definedName>
    <definedName name="_BQ4.24" hidden="1">#REF!</definedName>
    <definedName name="_BQ4.25" hidden="1">#REF!</definedName>
    <definedName name="_BQ4.26" hidden="1">#REF!</definedName>
    <definedName name="_BQ4.27" hidden="1">#REF!</definedName>
    <definedName name="_BQ4.29" hidden="1">#REF!</definedName>
    <definedName name="_BQ4.3" hidden="1">#REF!</definedName>
    <definedName name="_BQ4.30" hidden="1">#REF!</definedName>
    <definedName name="_BQ4.31" hidden="1">#REF!</definedName>
    <definedName name="_BQ4.4" hidden="1">#REF!</definedName>
    <definedName name="_BQ4.9" hidden="1">#REF!</definedName>
    <definedName name="_c" hidden="1">{#N/A,#N/A,FALSE,"Layout Cash Flow"}</definedName>
    <definedName name="_cc1" hidden="1">{#N/A,#N/A,FALSE,"1";#N/A,#N/A,FALSE,"2";#N/A,#N/A,FALSE,"3";#N/A,#N/A,FALSE,"4";#N/A,#N/A,FALSE,"5";#N/A,#N/A,FALSE,"6";#N/A,#N/A,FALSE,"7";#N/A,#N/A,FALSE,"8";#N/A,#N/A,FALSE,"9";#N/A,#N/A,FALSE,"10";#N/A,#N/A,FALSE,"11";#N/A,#N/A,FALSE,"12";#N/A,#N/A,FALSE,"13";#N/A,#N/A,FALSE,"14";#N/A,#N/A,FALSE,"15";#N/A,#N/A,FALSE,"A1";#N/A,#N/A,FALSE,"A2";#N/A,#N/A,FALSE,"A3"}</definedName>
    <definedName name="_Fill" hidden="1">#REF!</definedName>
    <definedName name="_xlnm._FilterDatabase" localSheetId="2" hidden="1">'CWD 2025_V1'!$A$100:$D$102</definedName>
    <definedName name="_xlnm._FilterDatabase" localSheetId="3" hidden="1">'CWD 2026_V1'!$A$100:$D$102</definedName>
    <definedName name="_xlnm._FilterDatabase" localSheetId="4" hidden="1">'CWD 2027_V1'!$A$100:$D$102</definedName>
    <definedName name="_GSRATES_1" hidden="1">"CT300001Latest          "</definedName>
    <definedName name="_GSRATES_COUNT" hidden="1">1</definedName>
    <definedName name="_Key1" hidden="1">#REF!</definedName>
    <definedName name="_Key2" hidden="1">#REF!</definedName>
    <definedName name="_Order1" hidden="1">255</definedName>
    <definedName name="_Order2" hidden="1">255</definedName>
    <definedName name="_re34" hidden="1">{"Deckbl",#N/A,FALSE,"Deckblatt";"Eckzahlen",#N/A,FALSE,"Eckzahlen";"Bilanz",#N/A,FALSE,"Bilanz";"GuV",#N/A,FALSE,"GUV";"GuvScha_Wa",#N/A,FALSE,"GuvScha+Wa";"guvgi",#N/A,FALSE,"GuvGI";"guvdd",#N/A,FALSE,"GuvDD";#N/A,#N/A,FALSE,"Guv3D";"guvwaren",#N/A,FALSE,"GuvWaren";"guvbestückung",#N/A,FALSE,"GuvBestück";"guvprojek",#N/A,FALSE,"GuvProjek";"guvesr",#N/A,FALSE,"GuvESR";"investalt.",#N/A,FALSE,"Invest alt.";"aventw",#N/A,FALSE,"AV-Entw.";"personal",#N/A,FALSE,"Persaufw";"personal2",#N/A,FALSE,"Persaufw";"pmgerüst",#N/A,FALSE,"Preis-Mengen-Gerüst";"cflow1",#N/A,FALSE,"CashFlow";"cflow2",#N/A,FALSE,"CashFlow";"cflow3",#N/A,FALSE,"CashFlow";"FCF",#N/A,FALSE,"Unternehmensbewertung DCF";"WACC",#N/A,FALSE,"Unternehmensbewertung DCF";"Wert",#N/A,FALSE,"Unternehmensbewertung DCF"}</definedName>
    <definedName name="_Regression_Int" hidden="1">1</definedName>
    <definedName name="_Sort" hidden="1">#REF!</definedName>
    <definedName name="_Table1_In1" hidden="1">#REF!</definedName>
    <definedName name="_Table1_Out" hidden="1">#REF!</definedName>
    <definedName name="_Table2_In1" hidden="1">#REF!</definedName>
    <definedName name="_Table2_In2" hidden="1">#REF!</definedName>
    <definedName name="_Table2_Out" hidden="1">#REF!</definedName>
    <definedName name="_var3" hidden="1">{"'777'!$A$1:$H$41"}</definedName>
    <definedName name="aa" hidden="1">{"'WEB azoc prov'!$B$85:$L$123"}</definedName>
    <definedName name="aaa" hidden="1">{"mult96",#N/A,FALSE,"PETCOMP";"est96",#N/A,FALSE,"PETCOMP";"mult95",#N/A,FALSE,"PETCOMP";"est95",#N/A,FALSE,"PETCOMP";"multltm",#N/A,FALSE,"PETCOMP";"resultltm",#N/A,FALSE,"PETCOMP"}</definedName>
    <definedName name="AAA_DOCTOPS" hidden="1">"AAA_SET"</definedName>
    <definedName name="AAA_duser" hidden="1">"OFF"</definedName>
    <definedName name="aaaa" hidden="1">{"'WEB azoc prov'!$B$85:$L$123"}</definedName>
    <definedName name="aaaaa" hidden="1">{"'WEB azoc prov'!$B$85:$L$123"}</definedName>
    <definedName name="aaaaaa" hidden="1">{"'WEB azoc prov'!$B$85:$L$123"}</definedName>
    <definedName name="AAAAAAAAAAAAAAAAA" hidden="1">{#N/A,#N/A,FALSE,"1";#N/A,#N/A,FALSE,"2";#N/A,#N/A,FALSE,"3";#N/A,#N/A,FALSE,"4";#N/A,#N/A,FALSE,"5";#N/A,#N/A,FALSE,"6";#N/A,#N/A,FALSE,"7";#N/A,#N/A,FALSE,"8";#N/A,#N/A,FALSE,"9";#N/A,#N/A,FALSE,"10";#N/A,#N/A,FALSE,"11";#N/A,#N/A,FALSE,"12";#N/A,#N/A,FALSE,"13";#N/A,#N/A,FALSE,"14";#N/A,#N/A,FALSE,"15";#N/A,#N/A,FALSE,"A1";#N/A,#N/A,FALSE,"A2";#N/A,#N/A,FALSE,"A3"}</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b" hidden="1">{"'WEB azoc prov'!$B$85:$L$123"}</definedName>
    <definedName name="abb" hidden="1">{"'WEB azoc prov'!$B$85:$L$123"}</definedName>
    <definedName name="abc"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bd" hidden="1">{"Deckbl",#N/A,FALSE,"Deckblatt";"Eckzahlen",#N/A,FALSE,"Eckzahlen";"Bilanz",#N/A,FALSE,"Bilanz";"GuV",#N/A,FALSE,"GUV";"GuvScha_Wa",#N/A,FALSE,"GuvScha+Wa";"guvgi",#N/A,FALSE,"GuvGI";"guvdd",#N/A,FALSE,"GuvDD";#N/A,#N/A,FALSE,"Guv3D";"guvwaren",#N/A,FALSE,"GuvWaren";"guvbestückung",#N/A,FALSE,"GuvBestück";"guvprojek",#N/A,FALSE,"GuvProjek";"guvesr",#N/A,FALSE,"GuvESR";"investalt.",#N/A,FALSE,"Invest alt.";"aventw",#N/A,FALSE,"AV-Entw.";"personal",#N/A,FALSE,"Persaufw";"personal2",#N/A,FALSE,"Persaufw";"pmgerüst",#N/A,FALSE,"Preis-Mengen-Gerüst";"cflow1",#N/A,FALSE,"CashFlow";"cflow2",#N/A,FALSE,"CashFlow";"cflow3",#N/A,FALSE,"CashFlow";"FCF",#N/A,FALSE,"Unternehmensbewertung DCF";"WACC",#N/A,FALSE,"Unternehmensbewertung DCF";"Wert",#N/A,FALSE,"Unternehmensbewertung DCF"}</definedName>
    <definedName name="abe" hidden="1">{"GuVGmbH",#N/A,FALSE,"ratios";"BilanzGmbH",#N/A,FALSE,"ratios";"BilanzKG",#N/A,FALSE,"ratios";"GuVKG",#N/A,FALSE,"ratios"}</definedName>
    <definedName name="ac" hidden="1">{"'WEB azoc prov'!$B$85:$L$123"}</definedName>
    <definedName name="acc" hidden="1">{"'WEB azoc prov'!$B$85:$L$123"}</definedName>
    <definedName name="AccessDatabase" hidden="1">"W:\USERS\AFC\RPT_98\INV_98\Cartel1.mdb"</definedName>
    <definedName name="adfgdzf" hidden="1">{TRUE,TRUE,-2,-16.25,774,494.25,FALSE,TRUE,TRUE,TRUE,0,6,#N/A,1,#N/A,33.1333333333333,63.6451612903226,1,FALSE,FALSE,3,TRUE,1,FALSE,75,"Swvu.Page2.","ACwvu.Page2.",#N/A,FALSE,FALSE,0.236220472440945,0.275590551181102,0.236220472440945,0.275590551181102,2,"","",TRUE,TRUE,FALSE,FALSE,1,83,#N/A,#N/A,"=R4C25:R64C47",FALSE,"Rwvu.Page2.","Cwvu.Page2.",FALSE,FALSE,TRUE,1,#N/A,#N/A,FALSE,FALSE,TRUE,TRUE,TRUE}</definedName>
    <definedName name="adfhzdf" hidden="1">{"sales",#N/A,FALSE,"Sales";"sales existing",#N/A,FALSE,"Sales";"sales rd1",#N/A,FALSE,"Sales";"sales rd2",#N/A,FALSE,"Sales"}</definedName>
    <definedName name="adrharh" hidden="1">{"WACC",#N/A,FALSE,"Bewertung D&amp;Co";"DCF",#N/A,FALSE,"Bewertung D&amp;Co";"Wert",#N/A,FALSE,"Bewertung D&amp;Co";"Investitionen",#N/A,FALSE,"Cash D&amp;Co";"EBIT",#N/A,FALSE,"Cash D&amp;Co";"Cash Flow",#N/A,FALSE,"Cash D&amp;Co";"FCF",#N/A,FALSE,"Cash D&amp;Co";"EBIT Multiplier",#N/A,FALSE,"EBIT-Multiplier";"Branchen Beta",#N/A,FALSE,"Branchen-Beta";"Dax Rendite",#N/A,FALSE,"DAX-Rendite";"Bu Rendite",#N/A,FALSE,"Bu-Anl-Rendite"}</definedName>
    <definedName name="aerhaerhaerh" hidden="1">{"Deckbl",#N/A,FALSE,"Deckblatt";"Eckzahlen",#N/A,FALSE,"Eckzahlen";"Bilanz",#N/A,FALSE,"Bilanz";"GuV",#N/A,FALSE,"GUV";"GuvScha_Wa",#N/A,FALSE,"GuvScha+Wa";"guvgi",#N/A,FALSE,"GuvGI";"guvdd",#N/A,FALSE,"GuvDD";#N/A,#N/A,FALSE,"Guv3D";"guvwaren",#N/A,FALSE,"GuvWaren";"guvbestückung",#N/A,FALSE,"GuvBestück";"guvprojek",#N/A,FALSE,"GuvProjek";"guvesr",#N/A,FALSE,"GuvESR";"investalt.",#N/A,FALSE,"Invest alt.";"aventw",#N/A,FALSE,"AV-Entw.";"personal",#N/A,FALSE,"Persaufw";"personal2",#N/A,FALSE,"Persaufw";"pmgerüst",#N/A,FALSE,"Preis-Mengen-Gerüst";"cflow1",#N/A,FALSE,"CashFlow";"cflow2",#N/A,FALSE,"CashFlow";"cflow3",#N/A,FALSE,"CashFlow";"FCF",#N/A,FALSE,"Unternehmensbewertung DCF";"WACC",#N/A,FALSE,"Unternehmensbewertung DCF";"Wert",#N/A,FALSE,"Unternehmensbewertung DCF"}</definedName>
    <definedName name="agag" hidden="1">{"adj95mult",#N/A,FALSE,"COMPCO";"adj95est",#N/A,FALSE,"COMPCO"}</definedName>
    <definedName name="anscount" hidden="1">1</definedName>
    <definedName name="are" hidden="1">{"Aktiva_Gittelde",#N/A,TRUE,"Bilanz-Gittelde";"Liabilities_gittelde",#N/A,TRUE,"Bilanz-Gittelde";"GuV_Gittelde",#N/A,TRUE,"GuV-Gittelde";"Aktiva Dresden",#N/A,TRUE,"Bilanz-Dresden";"Passiva Dresden",#N/A,TRUE,"Bilanz-Dresden";"guv Dresden",#N/A,TRUE,"Guv-Dresden";"FPC_Aktiva_hist",#N/A,TRUE,"Bilanz-FPC-D&amp;Co";"FPC_Passiva_hist",#N/A,TRUE,"Bilanz-FPC-D&amp;Co";"FPC_Aktiva_Plan",#N/A,TRUE,"Bilanz-FPC-D&amp;Co";"FPC_Passiva_Plan",#N/A,TRUE,"Bilanz-FPC-D&amp;Co";"FPC_GuV_hist",#N/A,TRUE,"GuV-FPC";"FPC_GuV_Plan",#N/A,TRUE,"GuV-FPC"}</definedName>
    <definedName name="as" hidden="1">{"costo totale",#N/A,FALSE,"Risorse e R&amp;D 5";"costi unitari",#N/A,FALSE,"Risorse e R&amp;D 5";"n° addetti",#N/A,FALSE,"Risorse e R&amp;D 5";#N/A,#N/A,FALSE,"Risorse e R&amp;D 5"}</definedName>
    <definedName name="AS2DocOpenMode" hidden="1">"AS2DocumentEdit"</definedName>
    <definedName name="ASaQSS" hidden="1">{"Ebit GuV",#N/A,FALSE,"EBIT";"Finanzbedarf1",#N/A,FALSE,"Finanzbedarf";"GuV",#N/A,FALSE,"1.GUV";"GuV Hist. 2",#N/A,FALSE,"1.GUV";"GuV Plan3",#N/A,FALSE,"1.GUV";"Bilanz Aktiva Hist",#N/A,FALSE,"2.Bilanz ";"Bilanz Passiva Hist",#N/A,FALSE,"2.Bilanz ";"Bilanz Aktiva Plan",#N/A,FALSE,"2.Bilanz ";"Bilanz Passiva Plan",#N/A,FALSE,"2.Bilanz ";"Personal Hist",#N/A,FALSE,"1.1.2. Personal";"Personal Plan",#N/A,FALSE,"1.1.2. Personal";"Umschalter AV",#N/A,FALSE,"2.2.Umschalter Anlagevermögen";"AV 93 95",#N/A,FALSE,"2.2.1.Anlagevermögen (Hist.)";"AV Plan 97 98",#N/A,FALSE,"2.2.2.AV Plan";"AV 95 97",#N/A,FALSE,"2.2.1.Anlagevermögen (Hist.)";"AV Plan 98 00",#N/A,FALSE,"2.2.2.AV Plan";"AV Plan 00 01",#N/A,FALSE,"2.2.2.AV Plan"}</definedName>
    <definedName name="asd" hidden="1">{"vi1",#N/A,FALSE,"Financial Statements";"vi2",#N/A,FALSE,"Financial Statements";#N/A,#N/A,FALSE,"DCF"}</definedName>
    <definedName name="asghx" hidden="1">{"DCF","UPSIDE CASE",FALSE,"Sheet1";"DCF","BASE CASE",FALSE,"Sheet1";"DCF","DOWNSIDE CASE",FALSE,"Sheet1"}</definedName>
    <definedName name="Assumptions" hidden="1">{"Area1",#N/A,FALSE,"OREWACC";"Area2",#N/A,FALSE,"OREWACC"}</definedName>
    <definedName name="ATS" hidden="1">13.7603</definedName>
    <definedName name="AVP" hidden="1">{"page 1",#N/A,FALSE,"A";"page 2",#N/A,FALSE,"A";"page 3",#N/A,FALSE,"A";"page 4",#N/A,FALSE,"A";"page 5",#N/A,FALSE,"A";"page 6",#N/A,FALSE,"A";"page 7",#N/A,FALSE,"A";"page 8",#N/A,FALSE,"A";"page 9",#N/A,FALSE,"A";"page 10",#N/A,FALSE,"A";"page 11",#N/A,FALSE,"A";"page 12",#N/A,FALSE,"A";"page 13",#N/A,FALSE,"A";"page 14",#N/A,FALSE,"A"}</definedName>
    <definedName name="awaeqw" hidden="1">{"'WEB azoc prov'!$B$85:$L$123"}</definedName>
    <definedName name="B" hidden="1">{"'WEB azoc prov'!$B$85:$L$123"}</definedName>
    <definedName name="B.2" hidden="1">{"'WEB azoc prov'!$B$85:$L$123"}</definedName>
    <definedName name="bb" hidden="1">{"'WEB azoc prov'!$B$85:$L$123"}</definedName>
    <definedName name="bbb" hidden="1">{"'WEB azoc prov'!$B$85:$L$123"}</definedName>
    <definedName name="belnew" hidden="1">{"IS",#N/A,FALSE,"IS";"RPTIS",#N/A,FALSE,"RPTIS";"STATS",#N/A,FALSE,"STATS";"CELL",#N/A,FALSE,"CELL";"BS",#N/A,FALSE,"BS"}</definedName>
    <definedName name="belnew2" hidden="1">{"IS",#N/A,FALSE,"IS";"RPTIS",#N/A,FALSE,"RPTIS";"STATS",#N/A,FALSE,"STATS";"CELL",#N/A,FALSE,"CELL";"BS",#N/A,FALSE,"BS"}</definedName>
    <definedName name="benchmarkg" hidden="1">{"test2",#N/A,TRUE,"Prices"}</definedName>
    <definedName name="bhhhh" hidden="1">{"'WEB azoc prov'!$B$85:$L$123"}</definedName>
    <definedName name="BLPH1" hidden="1">#REF!</definedName>
    <definedName name="BLPH2" hidden="1">#REF!</definedName>
    <definedName name="BLPH3" hidden="1">#REF!</definedName>
    <definedName name="BLPH4" hidden="1">#REF!</definedName>
    <definedName name="BLPH5" hidden="1">#REF!</definedName>
    <definedName name="BLPH6" hidden="1">#REF!</definedName>
    <definedName name="BM_WAG">#REF!</definedName>
    <definedName name="BT"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cas" hidden="1">{"ProspettoImposte",#N/A,FALSE,"Prospetto imposte"}</definedName>
    <definedName name="CASH" hidden="1">{"ProspettoImposte",#N/A,FALSE,"Prospetto imposte"}</definedName>
    <definedName name="CashFlow1" hidden="1">{"QIncStmt",#N/A,FALSE,"Quarter Inc St";"QGrthNMrgn",#N/A,FALSE,"Quarter Inc St";"SummIncStmt",#N/A,FALSE,"Income Statement";"BalanceSheet",#N/A,FALSE,"Balance Sheet";"SumCashFlow",#N/A,FALSE,"Sum Cash Flow";"DCFProjections",#N/A,FALSE,"DCF Projections";"CalcWorksheet",#N/A,FALSE,"Calc Wksht New";"DCFPresent Value",#N/A,FALSE,"DCF1";"FutureSharePrices",#N/A,FALSE,"Future Share Prices";"AVP",#N/A,FALSE,"AVP";"PV of Future Prices",#N/A,FALSE,"Fut Share Price - New EPS"}</definedName>
    <definedName name="CashFlow2" hidden="1">{"coverall",#N/A,FALSE,"Definitions";"cover1",#N/A,FALSE,"Definitions";"cover2",#N/A,FALSE,"Definitions";"cover3",#N/A,FALSE,"Definitions";"cover4",#N/A,FALSE,"Definitions";"cover5",#N/A,FALSE,"Definitions";"blank",#N/A,FALSE,"Definitions"}</definedName>
    <definedName name="cb_sChart10D6460A_opts" hidden="1">"1, 1, 1, False, 2, True, False, , 0, False, False, 1, 1"</definedName>
    <definedName name="cb_sChart10D65256_opts" hidden="1">"1, 1, 1, False, 2, True, False, , 0, False, False, 1, 1"</definedName>
    <definedName name="cb_sChart10D653EB_opts" hidden="1">"1, 1, 1, False, 2, True, False, , 0, False, False, 1, 1"</definedName>
    <definedName name="cb_sChart10D65893_opts" hidden="1">"1, 1, 1, False, 2, True, False, , 0, False, False, 1, 1"</definedName>
    <definedName name="cb_sChartEE4CE1B_opts" hidden="1">"1, 4, 1, False, 2, False, False, , 0, False, False, 1, 1"</definedName>
    <definedName name="cb_sChartEE4CF99_opts" hidden="1">"1, 1, 1, False, 2, False, False, , 0, False, False, 1, 1"</definedName>
    <definedName name="cb_sChartEE4DD06_opts" hidden="1">"1, 1, 1, False, 2, False, False, , 0, False, False, 1, 2"</definedName>
    <definedName name="cb_sChartEE4E93B_opts" hidden="1">"1, 1, 1, False, 2, False, False, , 0, False, False, 1, 1"</definedName>
    <definedName name="cb_sChartEE51E95_opts" hidden="1">"1, 1, 1, False, 2, False, False, , 0, False, False, 1, 1"</definedName>
    <definedName name="cb_sChartEED7645_opts" hidden="1">"1, 1, 1, False, 2, False, False, , 0, False, False, 1, 1"</definedName>
    <definedName name="cb_sChartEEDA195_opts" hidden="1">"1, 1, 1, False, 2, False, False, , 0, False, False, 1, 1"</definedName>
    <definedName name="cb_sChartEEDC338_opts" hidden="1">"1, 1, 1, False, 2, False, False, , 0, False, False, 1, 1"</definedName>
    <definedName name="cb_sChartEEDEDB8_opts" hidden="1">"1, 1, 1, False, 2, False, False, , 0, False, True, 1, 1"</definedName>
    <definedName name="cb_sChartEEDEE5A_opts" hidden="1">"1, 3, 1, False, 2, True, False, , 0, False, True, 1, 1"</definedName>
    <definedName name="cb_sChartEEDF178_opts" hidden="1">"1, 3, 1, False, 2, False, False, , 0, False, True, 1, 1"</definedName>
    <definedName name="cb_sChartF6A6B11_opts" hidden="1">"1, 1, 1, False, 2, True, False, , 0, False, False, 1, 1"</definedName>
    <definedName name="cb_sChartFD191DC_opts" hidden="1">"1, 3, 1, False, 2, True, False, , 0, False, True, 1, 1"</definedName>
    <definedName name="cb_sChartFD1A245_opts" hidden="1">"1, 3, 1, False, 2, True, False, , 0, False, True, 1, 1"</definedName>
    <definedName name="cb_sChartFD3F0E9_opts" hidden="1">"1, 3, 1, False, 2, True, False, , 0, False, False, 1, 1"</definedName>
    <definedName name="cb_sChartFD3F27E_opts" hidden="1">"1, 3, 1, False, 2, True, False, , 0, False, True, 1, 1"</definedName>
    <definedName name="cb_sChartFD58483_opts" hidden="1">"1, 1, 1, False, 2, True, False, , 0, False, False, 1, 1"</definedName>
    <definedName name="cb_sChartFD5C4CD_opts" hidden="1">"1, 1, 1, False, 2, True, False, , 0, False, False, 1, 1"</definedName>
    <definedName name="cb_sChartFD5D4CE_opts" hidden="1">"1, 1, 1, False, 2, True, False, , 0, False, False, 1, 1"</definedName>
    <definedName name="cb_sChartFD5DF34_opts" hidden="1">"1, 1, 1, False, 2, True, False, , 0, False, False, 1, 1"</definedName>
    <definedName name="cb_sChartFD5EFC0_opts" hidden="1">"1, 1, 1, False, 2, True, False, , 0, False, False, 1, 1"</definedName>
    <definedName name="cb_sChartFD5FDB9_opts" hidden="1">"1, 1, 1, False, 2, True, False, , 0, False, False, 1, 1"</definedName>
    <definedName name="cb_sChartFE54712_opts" hidden="1">"1, 3, 1, False, 2, True, False, , 0, False, True, 1, 1"</definedName>
    <definedName name="cc" hidden="1">{"'WEB azoc prov'!$B$85:$L$123"}</definedName>
    <definedName name="ccc" hidden="1">{"mult96",#N/A,FALSE,"PETCOMP";"est96",#N/A,FALSE,"PETCOMP";"mult95",#N/A,FALSE,"PETCOMP";"est95",#N/A,FALSE,"PETCOMP";"multltm",#N/A,FALSE,"PETCOMP";"resultltm",#N/A,FALSE,"PETCOMP"}</definedName>
    <definedName name="cccccccccccccc" hidden="1">#REF!</definedName>
    <definedName name="cde" hidden="1">{"Ebit GuV",#N/A,FALSE,"EBIT";"Finanzbedarf1",#N/A,FALSE,"Finanzbedarf";"GuV",#N/A,FALSE,"1.GUV";"GuV Hist. 2",#N/A,FALSE,"1.GUV";"GuV Plan3",#N/A,FALSE,"1.GUV";"Bilanz Aktiva Hist",#N/A,FALSE,"2.Bilanz ";"Bilanz Passiva Hist",#N/A,FALSE,"2.Bilanz ";"Bilanz Aktiva Plan",#N/A,FALSE,"2.Bilanz ";"Bilanz Passiva Plan",#N/A,FALSE,"2.Bilanz ";"Personal Hist",#N/A,FALSE,"1.1.2. Personal";"Personal Plan",#N/A,FALSE,"1.1.2. Personal";"Umschalter AV",#N/A,FALSE,"2.2.Umschalter Anlagevermögen";"AV 93 95",#N/A,FALSE,"2.2.1.Anlagevermögen (Hist.)";"AV Plan 97 98",#N/A,FALSE,"2.2.2.AV Plan";"AV 95 97",#N/A,FALSE,"2.2.1.Anlagevermögen (Hist.)";"AV Plan 98 00",#N/A,FALSE,"2.2.2.AV Plan";"AV Plan 00 01",#N/A,FALSE,"2.2.2.AV Plan"}</definedName>
    <definedName name="Cellular_Sub" hidden="1">{"Outputs",#N/A,TRUE,"North America";"Outputs",#N/A,TRUE,"Europe";"Outputs",#N/A,TRUE,"Asia Pacific";"Outputs",#N/A,TRUE,"Latin America";"Outputs",#N/A,TRUE,"Wireless"}</definedName>
    <definedName name="ChangeRange" localSheetId="2" hidden="1">#REF!</definedName>
    <definedName name="ChangeRange" localSheetId="3" hidden="1">#REF!</definedName>
    <definedName name="ChangeRange" localSheetId="4" hidden="1">#REF!</definedName>
    <definedName name="ChangeRange" hidden="1">#REF!</definedName>
    <definedName name="Compco1" hidden="1">{"Page1",#N/A,FALSE,"CompCo";"Page2",#N/A,FALSE,"CompCo"}</definedName>
    <definedName name="Compco2" hidden="1">{"Page1",#N/A,FALSE,"CompCo";"Page2",#N/A,FALSE,"CompCo"}</definedName>
    <definedName name="confornto" hidden="1">{#N/A,#N/A,FALSE,"1";#N/A,#N/A,FALSE,"2";#N/A,#N/A,FALSE,"3";#N/A,#N/A,FALSE,"4";#N/A,#N/A,FALSE,"5";#N/A,#N/A,FALSE,"6";#N/A,#N/A,FALSE,"7";#N/A,#N/A,FALSE,"8";#N/A,#N/A,FALSE,"9";#N/A,#N/A,FALSE,"10";#N/A,#N/A,FALSE,"11";#N/A,#N/A,FALSE,"12";#N/A,#N/A,FALSE,"13";#N/A,#N/A,FALSE,"14";#N/A,#N/A,FALSE,"15";#N/A,#N/A,FALSE,"A1";#N/A,#N/A,FALSE,"A2";#N/A,#N/A,FALSE,"A3"}</definedName>
    <definedName name="ContentsHelp" localSheetId="2" hidden="1">#REF!</definedName>
    <definedName name="ContentsHelp" localSheetId="3" hidden="1">#REF!</definedName>
    <definedName name="ContentsHelp" localSheetId="4" hidden="1">#REF!</definedName>
    <definedName name="ContentsHelp" hidden="1">#REF!</definedName>
    <definedName name="costs_GCA_capa" localSheetId="2">'CWD 2025_V1'!$C$5</definedName>
    <definedName name="costs_GCA_capa" localSheetId="3">'CWD 2026_V1'!$C$5</definedName>
    <definedName name="costs_GCA_capa" localSheetId="4">'CWD 2027_V1'!$C$5</definedName>
    <definedName name="costs_TAG_capa" localSheetId="2">'CWD 2025_V1'!$C$6</definedName>
    <definedName name="costs_TAG_capa" localSheetId="3">'CWD 2026_V1'!$C$6</definedName>
    <definedName name="costs_TAG_capa" localSheetId="4">'CWD 2027_V1'!$C$6</definedName>
    <definedName name="CreateTable" localSheetId="2" hidden="1">#REF!</definedName>
    <definedName name="CreateTable" localSheetId="3" hidden="1">#REF!</definedName>
    <definedName name="CreateTable" localSheetId="4" hidden="1">#REF!</definedName>
    <definedName name="CreateTable" hidden="1">#REF!</definedName>
    <definedName name="CRRC_apply">TRUE</definedName>
    <definedName name="CRRC_delay">2</definedName>
    <definedName name="Cwvu.GREY_ALL." hidden="1">#REF!</definedName>
    <definedName name="d" hidden="1">{"'WEB azoc prov'!$B$85:$L$123"}</definedName>
    <definedName name="dd" hidden="1">{"'WEB azoc prov'!$B$85:$L$123"}</definedName>
    <definedName name="ddd" hidden="1">{"'WEB azoc prov'!$B$85:$L$123"}</definedName>
    <definedName name="ddddp" hidden="1">{"'WEB azoc prov'!$B$85:$L$123"}</definedName>
    <definedName name="delete11" hidden="1">{"Page1",#N/A,FALSE,"CompCo";"Page2",#N/A,FALSE,"CompCo"}</definedName>
    <definedName name="delete20" hidden="1">{"Page1",#N/A,FALSE,"CompCo";"Page2",#N/A,FALSE,"CompCo"}</definedName>
    <definedName name="delete5" hidden="1">{"Page1",#N/A,FALSE,"CompCo";"Page2",#N/A,FALSE,"CompCo"}</definedName>
    <definedName name="DeleteRange" localSheetId="2" hidden="1">#REF!</definedName>
    <definedName name="DeleteRange" localSheetId="3" hidden="1">#REF!</definedName>
    <definedName name="DeleteRange" localSheetId="4" hidden="1">#REF!</definedName>
    <definedName name="DeleteRange" hidden="1">#REF!</definedName>
    <definedName name="DeleteTable" localSheetId="2" hidden="1">#REF!</definedName>
    <definedName name="DeleteTable" localSheetId="3" hidden="1">#REF!</definedName>
    <definedName name="DeleteTable" localSheetId="4" hidden="1">#REF!</definedName>
    <definedName name="DeleteTable" hidden="1">#REF!</definedName>
    <definedName name="dfgxc" hidden="1">{"targetdcf",#N/A,FALSE,"Merger consequences";"TARGETASSU",#N/A,FALSE,"Merger consequences";"TERMINAL VALUE",#N/A,FALSE,"Merger consequences"}</definedName>
    <definedName name="dfgxcv" hidden="1">{TRUE,TRUE,-2,-16.25,774,494.25,FALSE,TRUE,TRUE,TRUE,0,32,#N/A,1,#N/A,31.0666666666667,63.6451612903226,1,FALSE,FALSE,3,TRUE,1,FALSE,75,"Swvu.Page3.","ACwvu.Page3.",#N/A,FALSE,FALSE,0.236220472440945,0.275590551181102,0.236220472440945,0.275590551181102,2,"","",TRUE,TRUE,FALSE,FALSE,1,83,#N/A,#N/A,"=R4C48:R64C71",FALSE,"Rwvu.Page3.","Cwvu.Page3.",FALSE,FALSE,TRUE,1,#N/A,#N/A,FALSE,FALSE,TRUE,TRUE,TRUE}</definedName>
    <definedName name="dfhd" hidden="1">{"vi1",#N/A,FALSE,"Financial Statements";"vi2",#N/A,FALSE,"Financial Statements";#N/A,#N/A,FALSE,"DCF"}</definedName>
    <definedName name="dfsSF" hidden="1">{"'WEB azoc prov'!$B$85:$L$123"}</definedName>
    <definedName name="dft" hidden="1">{"EVA",#N/A,FALSE,"EVA";"WACC",#N/A,FALSE,"WACC"}</definedName>
    <definedName name="dfxc" hidden="1">{TRUE,TRUE,-2,-16.25,774,494.25,FALSE,TRUE,TRUE,TRUE,0,1,#N/A,1,#N/A,27.1,63.6451612903226,1,FALSE,FALSE,3,TRUE,1,FALSE,75,"Swvu.Page1.","ACwvu.Page1.",#N/A,FALSE,FALSE,0.236220472440945,0.275590551181102,0.236220472440945,0.275590551181102,2,"","",TRUE,TRUE,FALSE,FALSE,1,83,#N/A,#N/A,"=R4C1:R64C22",FALSE,"Rwvu.Page1.","Cwvu.Page1.",FALSE,FALSE,TRUE,1,#N/A,#N/A,FALSE,FALSE,TRUE,TRUE,TRUE}</definedName>
    <definedName name="dgj" hidden="1">{"EVA",#N/A,FALSE,"EVA";"WACC",#N/A,FALSE,"WACC"}</definedName>
    <definedName name="dgxcv" hidden="1">{TRUE,TRUE,-2,-16.25,774,494.25,FALSE,TRUE,TRUE,TRUE,0,70,#N/A,1,#N/A,28.5666666666667,63.6451612903226,1,FALSE,FALSE,3,TRUE,1,FALSE,75,"Swvu.Page4.","ACwvu.Page4.",#N/A,FALSE,FALSE,0.236220472440945,0.275590551181102,0.236220472440945,0.275590551181102,2,"","",TRUE,TRUE,FALSE,FALSE,1,83,#N/A,#N/A,"=R4C72:R64C94",FALSE,"Rwvu.Page4.","Cwvu.Page4.",FALSE,FALSE,TRUE,1,#N/A,#N/A,FALSE,FALSE,TRUE,TRUE,TRUE}</definedName>
    <definedName name="dhgkghkds" hidden="1">{"DCF1",#N/A,FALSE,"SIERRA DCF";"MATRIX1",#N/A,FALSE,"SIERRA DCF"}</definedName>
    <definedName name="discount_DZK" localSheetId="2">'CWD 2025_V1'!$C$12</definedName>
    <definedName name="discount_DZK" localSheetId="3">'CWD 2026_V1'!$C$12</definedName>
    <definedName name="discount_DZK" localSheetId="4">'CWD 2027_V1'!$C$12</definedName>
    <definedName name="discount_storage_entry" localSheetId="2">'CWD 2025_V1'!$C$13</definedName>
    <definedName name="discount_storage_entry" localSheetId="3">'CWD 2026_V1'!$C$13</definedName>
    <definedName name="discount_storage_entry" localSheetId="4">'CWD 2027_V1'!$C$13</definedName>
    <definedName name="discount_storage_exit" localSheetId="2">'CWD 2025_V1'!$C$14</definedName>
    <definedName name="discount_storage_exit" localSheetId="3">'CWD 2026_V1'!$C$14</definedName>
    <definedName name="discount_storage_exit" localSheetId="4">'CWD 2027_V1'!$C$14</definedName>
    <definedName name="draka" hidden="1">{"QIncStmt",#N/A,FALSE,"Quarter Inc St";"QGrthNMrgn",#N/A,FALSE,"Quarter Inc St";"SummIncStmt",#N/A,FALSE,"Income Statement";"BalanceSheet",#N/A,FALSE,"Balance Sheet";"SumCashFlow",#N/A,FALSE,"Sum Cash Flow";"DCFProjections",#N/A,FALSE,"DCF Projections";"CalcWorksheet",#N/A,FALSE,"Calc Wksht New";"DCFPresent Value",#N/A,FALSE,"DCF1";"FutureSharePrices",#N/A,FALSE,"Future Share Prices";"AVP",#N/A,FALSE,"AVP";"PV of Future Prices",#N/A,FALSE,"Fut Share Price - New EPS"}</definedName>
    <definedName name="ee" hidden="1">{"Budgetvergleich",#N/A,TRUE,"KSTGES.XLS";"Budgetvergleich",#N/A,TRUE,"KST10.XLS";"Budgetvergleich",#N/A,TRUE,"KST11.XLS";"Budgetvergleich",#N/A,TRUE,"KST12.XLS";"Budgetvergleich",#N/A,TRUE,"KST15.XLS";"Budgetvergleich",#N/A,TRUE,"KST20.XLS";"Budgetvergleich",#N/A,TRUE,"KST25.XLS";"Budgetvergleich",#N/A,TRUE,"KST30.XLS";"Budgetvergleich",#N/A,TRUE,"KST40.XLS";"Budgetvergleich",#N/A,TRUE,"KST41.XLS";"Budgetvergleich",#N/A,TRUE,"KST45.XLS";"Budgetvergleich",#N/A,TRUE,"KST50.XLS";"Budgetvergleich",#N/A,TRUE,"KST60.XLS";"Budgetvergleich",#N/A,TRUE,"KST61.XLS";"Budgetvergleich",#N/A,TRUE,"KST65.XLS";"Budgetvergleich",#N/A,TRUE,"KST70.XLS";"Budgetvergleich",#N/A,TRUE,"KST80.XLS";"Budgetvergleich",#N/A,TRUE,"KST90.XLS"}</definedName>
    <definedName name="eee" hidden="1">{"Graphic",#N/A,TRUE,"Graphic"}</definedName>
    <definedName name="EFqef" hidden="1">{"Ebit GuV",#N/A,FALSE,"EBIT";"Finanzbedarf1",#N/A,FALSE,"Finanzbedarf";"GuV",#N/A,FALSE,"1.GUV";"GuV Hist. 2",#N/A,FALSE,"1.GUV";"GuV Plan3",#N/A,FALSE,"1.GUV";"Bilanz Aktiva Hist",#N/A,FALSE,"2.Bilanz ";"Bilanz Passiva Hist",#N/A,FALSE,"2.Bilanz ";"Bilanz Aktiva Plan",#N/A,FALSE,"2.Bilanz ";"Bilanz Passiva Plan",#N/A,FALSE,"2.Bilanz ";"Personal Hist",#N/A,FALSE,"1.1.2. Personal";"Personal Plan",#N/A,FALSE,"1.1.2. Personal";"Umschalter AV",#N/A,FALSE,"2.2.Umschalter Anlagevermögen";"AV 93 95",#N/A,FALSE,"2.2.1.Anlagevermögen (Hist.)";"AV Plan 97 98",#N/A,FALSE,"2.2.2.AV Plan";"AV 95 97",#N/A,FALSE,"2.2.1.Anlagevermögen (Hist.)";"AV Plan 98 00",#N/A,FALSE,"2.2.2.AV Plan";"AV Plan 00 01",#N/A,FALSE,"2.2.2.AV Plan"}</definedName>
    <definedName name="EPMWorkbookOptions_1" hidden="1">"TS0AAB+LCAAAAAAABADtml1vokwUx+832e9gvEdAXtSGumFRWndVCGC7u01DBhmVrALPgLX99s+AolKwa5tuoyxJL8jMOWcOP/5zTpERvjwu5pUHiALHcy+rdI2qVqA79mzHnV5Wl+GEoPnql/bnT8Kth35bnvdb8UNsGlSwnxtcPAbOZXUWhv4FSa5Wq9qKqXloStYpiiZ/DPr6eAYXgHDcIATuGFa3Xvafvap41UpFkDzXheNoTcOTlghB"</definedName>
    <definedName name="EPMWorkbookOptions_2" hidden="1">"eHCVOHPuK0DAxkrtI7CA69W2KxG4CJfYS5YaRxDrGE4hzTeBLC2IadtdfWh/09XRrcDbd5ugCIRO6FYBC1YRS8BstnDmrIfIRYsXW7GXc8IJd2/fWcp3WzcseqX7ACHKH72cAj+C9zIXV7OrTQlD35uADI8H15jmyGfJmDdbb6dFPFt7zdmOxgr3oqvnuS5EV94Coiip9GXorsooh6Eocx6stjnUwA9wm+AllLkCx2uhyS4KIvd2twmkuiDw"</definedName>
    <definedName name="EPMWorkbookOptions_3" hidden="1">"kXTBQ4A9QutKbsU6eM93QHzXwxHJFFDsf5ZoW+XLBB2KyuLGyPu1hMnOFVXVxiNL5oqcr+VYM067u84LYkvIJCi6F0mshl2I27zMrS8Ks0ehD550HIQQk6e2UG/Up9CZVusNV6pKtemXaqsOYZUHsCa5TlNqOmK8cj6qIPEARMSEPm106A7hwqHzqgCWF2UhgELW8Rma7jYk3rN3umJ0RlZPoJfaja1ZPVvT7f5IpS28F/ZC+p4HMcCT+dMO"</definedName>
    <definedName name="EPMWorkbookOptions_4" hidden="1">"WqFT8gJ5/iUT64d51kiv3+HDYmXu9Y3L3CEMZkTw1wSraqZlq5TkjnG8aHleavH84ZoVyqfZDI953fbMzj/0QXSWbHGZx0h2bFB21X+P1qso1uuSJB2u11oJ9bohkSqU/g3O8iwu8wh5dgfa7dHSbDQFvtVqHi5NsXzSjAnMz9CubWmWMjh1jb4dId8VRT91Nj5Ox+qG1u2/xVtQoyGKf/AaJJWvd3NU5jXb4Hn+1DX7F2jR1Xi4nToxH6qZ"</definedName>
    <definedName name="EPMWorkbookOptions_5" hidden="1">"rzvqe36B10vZxjGJeaWONPodc31WamGZRyjVpONAMfraO0q1UT6ppiyuP2S+6XaNFxp2f6SPT36ovg0lXdW07Jqt6LpxJmRLiHCWyI4RRbXGp/959XEmu9Ufdt5xqjfLN9VjBvNvH/FYZ//XPwPscxJbysHJx+ndYUcxx0bHfMf+bZWvf1MW188XvUMfNVf984/MfwTKVVMMkrmiUwc5awqn2faPZmSN+8c5ZANOMYzmGtJCiNL/2OeNCU71"</definedName>
    <definedName name="EPMWorkbookOptions_6" hidden="1">"IcBxUg2Z4AGmyOfmBJueW6HaJAmNKXrfkcev3M1dk/vRDcAecHw4hHi2y7Bn//xpl3ZzTqb9HypYZa1iIwAA"</definedName>
    <definedName name="EPMWorkbookOptions_7" hidden="1">"HI4cX7x5+fvv7ex++vsfv3z56kcksTKz9yOCdJXI/x8I8v8ea/fm7IvTH6Kle/Aeli7LH04ePtx/uD2bTO5t79/fPdienD/ItrNPZ/cmD+/d39s7n/2/wNKBgqFDBkU2/v9FUvGbpMne7o9o0qPJ/R/RpCc7+z+iSY8m/z/hk//32L0vTo9ff/Xq9PUP0fYdvIft+/9IlGeoKA7ay1Py1Z6e/SgX8V6NAmzijR7fPV6tymKatQTHfh58apoT"</definedName>
    <definedName name="EPMWorkbookOptions_8" hidden="1">"tGq5JMTps6dZm/HH/odvqu7gH7/Kz+u8mX+5/HKVL4/Os7LJH98NP+R2J2We1QD65fJ1dpmblt2Pue13q/rtpKreEm+2TEbTuv9F2P5qprP2+Kz5yawuskmZf5HXFw5C7/PfOHFgv1wJNf4fMtZNwbo0AAA="</definedName>
    <definedName name="erer" hidden="1">{"Deckbl",#N/A,FALSE,"Deckblatt";"Eckzahlen",#N/A,FALSE,"Eckzahlen";"Bilanz",#N/A,FALSE,"Bilanz";"GuV",#N/A,FALSE,"GUV";"GuvScha_Wa",#N/A,FALSE,"GuvScha+Wa";"guvgi",#N/A,FALSE,"GuvGI";"guvdd",#N/A,FALSE,"GuvDD";#N/A,#N/A,FALSE,"Guv3D";"guvwaren",#N/A,FALSE,"GuvWaren";"guvbestückung",#N/A,FALSE,"GuvBestück";"guvprojek",#N/A,FALSE,"GuvProjek";"guvesr",#N/A,FALSE,"GuvESR";"investalt.",#N/A,FALSE,"Invest alt.";"aventw",#N/A,FALSE,"AV-Entw.";"personal",#N/A,FALSE,"Persaufw";"personal2",#N/A,FALSE,"Persaufw";"pmgerüst",#N/A,FALSE,"Preis-Mengen-Gerüst";"cflow1",#N/A,FALSE,"CashFlow";"cflow2",#N/A,FALSE,"CashFlow";"cflow3",#N/A,FALSE,"CashFlow";"FCF",#N/A,FALSE,"Unternehmensbewertung DCF";"WACC",#N/A,FALSE,"Unternehmensbewertung DCF";"Wert",#N/A,FALSE,"Unternehmensbewertung DCF"}</definedName>
    <definedName name="ererer3" hidden="1">{"Deckbl",#N/A,FALSE,"Deckblatt";"Eckzahlen",#N/A,FALSE,"Eckzahlen";"Bilanz",#N/A,FALSE,"Bilanz";"GuV",#N/A,FALSE,"GUV";"GuvScha_Wa",#N/A,FALSE,"GuvScha+Wa";"guvgi",#N/A,FALSE,"GuvGI";"guvdd",#N/A,FALSE,"GuvDD";#N/A,#N/A,FALSE,"Guv3D";"guvwaren",#N/A,FALSE,"GuvWaren";"guvbestückung",#N/A,FALSE,"GuvBestück";"guvprojek",#N/A,FALSE,"GuvProjek";"guvesr",#N/A,FALSE,"GuvESR";"investalt.",#N/A,FALSE,"Invest alt.";"aventw",#N/A,FALSE,"AV-Entw.";"personal",#N/A,FALSE,"Persaufw";"personal2",#N/A,FALSE,"Persaufw";"pmgerüst",#N/A,FALSE,"Preis-Mengen-Gerüst";"cflow1",#N/A,FALSE,"CashFlow";"cflow2",#N/A,FALSE,"CashFlow";"cflow3",#N/A,FALSE,"CashFlow";"FCF",#N/A,FALSE,"Unternehmensbewertung DCF";"WACC",#N/A,FALSE,"Unternehmensbewertung DCF";"Wert",#N/A,FALSE,"Unternehmensbewertung DCF"}</definedName>
    <definedName name="erererer" hidden="1">{"Aktiva_Gittelde",#N/A,TRUE,"Bilanz-Gittelde";"Liabilities_gittelde",#N/A,TRUE,"Bilanz-Gittelde";"GuV_Gittelde",#N/A,TRUE,"GuV-Gittelde";"Aktiva Dresden",#N/A,TRUE,"Bilanz-Dresden";"Passiva Dresden",#N/A,TRUE,"Bilanz-Dresden";"guv Dresden",#N/A,TRUE,"Guv-Dresden";"FPC_Aktiva_hist",#N/A,TRUE,"Bilanz-FPC-D&amp;Co";"FPC_Passiva_hist",#N/A,TRUE,"Bilanz-FPC-D&amp;Co";"FPC_Aktiva_Plan",#N/A,TRUE,"Bilanz-FPC-D&amp;Co";"FPC_Passiva_Plan",#N/A,TRUE,"Bilanz-FPC-D&amp;Co";"FPC_GuV_hist",#N/A,TRUE,"GuV-FPC";"FPC_GuV_Plan",#N/A,TRUE,"GuV-FPC"}</definedName>
    <definedName name="esr" hidden="1">{"qchm_dcf",#N/A,FALSE,"QCHMDCF2";"qchm_terminal",#N/A,FALSE,"QCHMDCF2"}</definedName>
    <definedName name="est" hidden="1">{"EVA",#N/A,FALSE,"EVA";"WACC",#N/A,FALSE,"WACC"}</definedName>
    <definedName name="ety" hidden="1">{"Acq_matrix",#N/A,FALSE,"Acquisition Matrix"}</definedName>
    <definedName name="etyufg" hidden="1">{"mult96",#N/A,FALSE,"PETCOMP";"est96",#N/A,FALSE,"PETCOMP";"mult95",#N/A,FALSE,"PETCOMP";"est95",#N/A,FALSE,"PETCOMP";"multltm",#N/A,FALSE,"PETCOMP";"resultltm",#N/A,FALSE,"PETCOMP"}</definedName>
    <definedName name="EUR" hidden="1">1</definedName>
    <definedName name="ev.Calculation" hidden="1">-4135</definedName>
    <definedName name="ev.Initialized" hidden="1">FALSE</definedName>
    <definedName name="EV__LASTREFTIME__" hidden="1">39295.7656944444</definedName>
    <definedName name="EV__MAXEXPCOLS__" hidden="1">100</definedName>
    <definedName name="EV__MAXEXPROWS__" hidden="1">60000</definedName>
    <definedName name="EV__WBEVMODE__" hidden="1">1</definedName>
    <definedName name="EV__WBREFOPTIONS__" hidden="1">134217740</definedName>
    <definedName name="EV__WBVERSION__" hidden="1">0</definedName>
    <definedName name="eytv" hidden="1">{"AQUIRORDCF",#N/A,FALSE,"Merger consequences";"Acquirorassns",#N/A,FALSE,"Merger consequences"}</definedName>
    <definedName name="f" hidden="1">{"'WEB azoc prov'!$B$85:$L$123"}</definedName>
    <definedName name="fd" hidden="1">{"vi1",#N/A,FALSE,"Financial Statements";"vi2",#N/A,FALSE,"Financial Statements";#N/A,#N/A,FALSE,"DCF"}</definedName>
    <definedName name="FDC_0_0" hidden="1">"#"</definedName>
    <definedName name="FDC_0_1" hidden="1">"#"</definedName>
    <definedName name="FDC_0_10" hidden="1">"#"</definedName>
    <definedName name="FDC_0_11" hidden="1">"#"</definedName>
    <definedName name="FDC_0_12" hidden="1">"#"</definedName>
    <definedName name="FDC_0_13" hidden="1">"#"</definedName>
    <definedName name="FDC_0_14" hidden="1">"#"</definedName>
    <definedName name="FDC_0_2" hidden="1">"#"</definedName>
    <definedName name="FDC_0_3" hidden="1">"#"</definedName>
    <definedName name="FDC_0_4" hidden="1">"#"</definedName>
    <definedName name="FDC_0_5" hidden="1">"#"</definedName>
    <definedName name="FDC_0_6" hidden="1">"#"</definedName>
    <definedName name="FDC_0_7" hidden="1">"#"</definedName>
    <definedName name="FDC_0_8" hidden="1">"#"</definedName>
    <definedName name="FDC_0_9" hidden="1">"#"</definedName>
    <definedName name="FDC_1_0" hidden="1">"#"</definedName>
    <definedName name="FDC_10_0" hidden="1">"#"</definedName>
    <definedName name="FDC_100_0" hidden="1">"#"</definedName>
    <definedName name="FDC_100_1" hidden="1">"#"</definedName>
    <definedName name="FDC_100_10" hidden="1">"#"</definedName>
    <definedName name="FDC_100_11" hidden="1">"#"</definedName>
    <definedName name="FDC_100_12" hidden="1">"#"</definedName>
    <definedName name="FDC_100_13" hidden="1">"#"</definedName>
    <definedName name="FDC_100_2" hidden="1">"#"</definedName>
    <definedName name="FDC_100_3" hidden="1">"#"</definedName>
    <definedName name="FDC_100_4" hidden="1">"#"</definedName>
    <definedName name="FDC_100_5" hidden="1">"#"</definedName>
    <definedName name="FDC_100_6" hidden="1">"#"</definedName>
    <definedName name="FDC_100_7" hidden="1">"#"</definedName>
    <definedName name="FDC_100_8" hidden="1">"#"</definedName>
    <definedName name="FDC_100_9" hidden="1">"#"</definedName>
    <definedName name="FDC_101_0" hidden="1">"#"</definedName>
    <definedName name="FDC_101_1" hidden="1">"#"</definedName>
    <definedName name="FDC_101_10" hidden="1">"#"</definedName>
    <definedName name="FDC_101_11" hidden="1">"#"</definedName>
    <definedName name="FDC_101_12" hidden="1">"#"</definedName>
    <definedName name="FDC_101_13" hidden="1">"#"</definedName>
    <definedName name="FDC_101_2" hidden="1">"#"</definedName>
    <definedName name="FDC_101_3" hidden="1">"#"</definedName>
    <definedName name="FDC_101_4" hidden="1">"#"</definedName>
    <definedName name="FDC_101_5" hidden="1">"#"</definedName>
    <definedName name="FDC_101_6" hidden="1">"#"</definedName>
    <definedName name="FDC_101_7" hidden="1">"#"</definedName>
    <definedName name="FDC_101_8" hidden="1">"#"</definedName>
    <definedName name="FDC_101_9" hidden="1">"#"</definedName>
    <definedName name="FDC_102_0" hidden="1">"#"</definedName>
    <definedName name="FDC_102_1" hidden="1">"#"</definedName>
    <definedName name="FDC_102_10" hidden="1">"#"</definedName>
    <definedName name="FDC_102_11" hidden="1">"#"</definedName>
    <definedName name="FDC_102_12" hidden="1">"#"</definedName>
    <definedName name="FDC_102_13" hidden="1">"#"</definedName>
    <definedName name="FDC_102_2" hidden="1">"#"</definedName>
    <definedName name="FDC_102_3" hidden="1">"#"</definedName>
    <definedName name="FDC_102_4" hidden="1">"#"</definedName>
    <definedName name="FDC_102_5" hidden="1">"#"</definedName>
    <definedName name="FDC_102_6" hidden="1">"#"</definedName>
    <definedName name="FDC_102_7" hidden="1">"#"</definedName>
    <definedName name="FDC_102_8" hidden="1">"#"</definedName>
    <definedName name="FDC_102_9" hidden="1">"#"</definedName>
    <definedName name="FDC_103_0" hidden="1">"#"</definedName>
    <definedName name="FDC_104_0" hidden="1">"#"</definedName>
    <definedName name="FDC_105_0" hidden="1">"#"</definedName>
    <definedName name="FDC_106_0" hidden="1">"#"</definedName>
    <definedName name="FDC_107_0" hidden="1">"#"</definedName>
    <definedName name="FDC_108_0" hidden="1">"#"</definedName>
    <definedName name="FDC_109_0" hidden="1">"#"</definedName>
    <definedName name="FDC_11_0" hidden="1">"#"</definedName>
    <definedName name="FDC_110_0" hidden="1">"#"</definedName>
    <definedName name="FDC_111_0" hidden="1">"#"</definedName>
    <definedName name="FDC_112_0" hidden="1">"#"</definedName>
    <definedName name="FDC_113_0" hidden="1">"#"</definedName>
    <definedName name="FDC_114_0" hidden="1">"#"</definedName>
    <definedName name="FDC_115_0" hidden="1">"#"</definedName>
    <definedName name="FDC_116_0" hidden="1">"#"</definedName>
    <definedName name="FDC_116_1" hidden="1">"#"</definedName>
    <definedName name="FDC_116_10" hidden="1">"#"</definedName>
    <definedName name="FDC_116_11" hidden="1">"#"</definedName>
    <definedName name="FDC_116_12" hidden="1">"#"</definedName>
    <definedName name="FDC_116_13" hidden="1">"#"</definedName>
    <definedName name="FDC_116_14" hidden="1">"#"</definedName>
    <definedName name="FDC_116_2" hidden="1">"#"</definedName>
    <definedName name="FDC_116_3" hidden="1">"#"</definedName>
    <definedName name="FDC_116_4" hidden="1">"#"</definedName>
    <definedName name="FDC_116_5" hidden="1">"#"</definedName>
    <definedName name="FDC_116_6" hidden="1">"#"</definedName>
    <definedName name="FDC_116_7" hidden="1">"#"</definedName>
    <definedName name="FDC_116_8" hidden="1">"#"</definedName>
    <definedName name="FDC_116_9" hidden="1">"#"</definedName>
    <definedName name="FDC_117_0" hidden="1">"#"</definedName>
    <definedName name="FDC_117_1" hidden="1">"#"</definedName>
    <definedName name="FDC_117_10" hidden="1">"#"</definedName>
    <definedName name="FDC_117_11" hidden="1">"#"</definedName>
    <definedName name="FDC_117_12" hidden="1">"#"</definedName>
    <definedName name="FDC_117_13" hidden="1">"#"</definedName>
    <definedName name="FDC_117_14" hidden="1">"#"</definedName>
    <definedName name="FDC_117_2" hidden="1">"#"</definedName>
    <definedName name="FDC_117_3" hidden="1">"#"</definedName>
    <definedName name="FDC_117_4" hidden="1">"#"</definedName>
    <definedName name="FDC_117_5" hidden="1">"#"</definedName>
    <definedName name="FDC_117_6" hidden="1">"#"</definedName>
    <definedName name="FDC_117_7" hidden="1">"#"</definedName>
    <definedName name="FDC_117_8" hidden="1">"#"</definedName>
    <definedName name="FDC_117_9" hidden="1">"#"</definedName>
    <definedName name="FDC_118_0" hidden="1">"#"</definedName>
    <definedName name="FDC_118_1" hidden="1">"#"</definedName>
    <definedName name="FDC_118_10" hidden="1">"#"</definedName>
    <definedName name="FDC_118_11" hidden="1">"#"</definedName>
    <definedName name="FDC_118_12" hidden="1">"#"</definedName>
    <definedName name="FDC_118_13" hidden="1">"#"</definedName>
    <definedName name="FDC_118_14" hidden="1">"#"</definedName>
    <definedName name="FDC_118_2" hidden="1">"#"</definedName>
    <definedName name="FDC_118_3" hidden="1">"#"</definedName>
    <definedName name="FDC_118_4" hidden="1">"#"</definedName>
    <definedName name="FDC_118_5" hidden="1">"#"</definedName>
    <definedName name="FDC_118_6" hidden="1">"#"</definedName>
    <definedName name="FDC_118_7" hidden="1">"#"</definedName>
    <definedName name="FDC_118_8" hidden="1">"#"</definedName>
    <definedName name="FDC_118_9" hidden="1">"#"</definedName>
    <definedName name="FDC_119_0" hidden="1">"#"</definedName>
    <definedName name="FDC_119_1" hidden="1">"#"</definedName>
    <definedName name="FDC_119_10" hidden="1">"#"</definedName>
    <definedName name="FDC_119_11" hidden="1">"#"</definedName>
    <definedName name="FDC_119_12" hidden="1">"#"</definedName>
    <definedName name="FDC_119_13" hidden="1">"#"</definedName>
    <definedName name="FDC_119_14" hidden="1">"#"</definedName>
    <definedName name="FDC_119_2" hidden="1">"#"</definedName>
    <definedName name="FDC_119_3" hidden="1">"#"</definedName>
    <definedName name="FDC_119_4" hidden="1">"#"</definedName>
    <definedName name="FDC_119_5" hidden="1">"#"</definedName>
    <definedName name="FDC_119_6" hidden="1">"#"</definedName>
    <definedName name="FDC_119_7" hidden="1">"#"</definedName>
    <definedName name="FDC_119_8" hidden="1">"#"</definedName>
    <definedName name="FDC_119_9" hidden="1">"#"</definedName>
    <definedName name="FDC_12_0" hidden="1">"#"</definedName>
    <definedName name="FDC_120_0" hidden="1">"#"</definedName>
    <definedName name="FDC_120_1" hidden="1">"#"</definedName>
    <definedName name="FDC_120_10" hidden="1">"#"</definedName>
    <definedName name="FDC_120_11" hidden="1">"#"</definedName>
    <definedName name="FDC_120_12" hidden="1">"#"</definedName>
    <definedName name="FDC_120_13" hidden="1">"#"</definedName>
    <definedName name="FDC_120_14" hidden="1">"#"</definedName>
    <definedName name="FDC_120_2" hidden="1">"#"</definedName>
    <definedName name="FDC_120_3" hidden="1">"#"</definedName>
    <definedName name="FDC_120_4" hidden="1">"#"</definedName>
    <definedName name="FDC_120_5" hidden="1">"#"</definedName>
    <definedName name="FDC_120_6" hidden="1">"#"</definedName>
    <definedName name="FDC_120_7" hidden="1">"#"</definedName>
    <definedName name="FDC_120_8" hidden="1">"#"</definedName>
    <definedName name="FDC_120_9" hidden="1">"#"</definedName>
    <definedName name="FDC_121_0" hidden="1">"#"</definedName>
    <definedName name="FDC_121_1" hidden="1">"#"</definedName>
    <definedName name="FDC_121_10" hidden="1">"#"</definedName>
    <definedName name="FDC_121_11" hidden="1">"#"</definedName>
    <definedName name="FDC_121_12" hidden="1">"#"</definedName>
    <definedName name="FDC_121_13" hidden="1">"#"</definedName>
    <definedName name="FDC_121_14" hidden="1">"#"</definedName>
    <definedName name="FDC_121_2" hidden="1">"#"</definedName>
    <definedName name="FDC_121_3" hidden="1">"#"</definedName>
    <definedName name="FDC_121_4" hidden="1">"#"</definedName>
    <definedName name="FDC_121_5" hidden="1">"#"</definedName>
    <definedName name="FDC_121_6" hidden="1">"#"</definedName>
    <definedName name="FDC_121_7" hidden="1">"#"</definedName>
    <definedName name="FDC_121_8" hidden="1">"#"</definedName>
    <definedName name="FDC_121_9" hidden="1">"#"</definedName>
    <definedName name="FDC_122_0" hidden="1">"#"</definedName>
    <definedName name="FDC_122_1" hidden="1">"#"</definedName>
    <definedName name="FDC_122_10" hidden="1">"#"</definedName>
    <definedName name="FDC_122_11" hidden="1">"#"</definedName>
    <definedName name="FDC_122_12" hidden="1">"#"</definedName>
    <definedName name="FDC_122_13" hidden="1">"#"</definedName>
    <definedName name="FDC_122_14" hidden="1">"#"</definedName>
    <definedName name="FDC_122_2" hidden="1">"#"</definedName>
    <definedName name="FDC_122_3" hidden="1">"#"</definedName>
    <definedName name="FDC_122_4" hidden="1">"#"</definedName>
    <definedName name="FDC_122_5" hidden="1">"#"</definedName>
    <definedName name="FDC_122_6" hidden="1">"#"</definedName>
    <definedName name="FDC_122_7" hidden="1">"#"</definedName>
    <definedName name="FDC_122_8" hidden="1">"#"</definedName>
    <definedName name="FDC_122_9" hidden="1">"#"</definedName>
    <definedName name="FDC_123_0" hidden="1">"#"</definedName>
    <definedName name="FDC_123_1" hidden="1">"#"</definedName>
    <definedName name="FDC_123_10" hidden="1">"#"</definedName>
    <definedName name="FDC_123_11" hidden="1">"#"</definedName>
    <definedName name="FDC_123_12" hidden="1">"#"</definedName>
    <definedName name="FDC_123_13" hidden="1">"#"</definedName>
    <definedName name="FDC_123_14" hidden="1">"#"</definedName>
    <definedName name="FDC_123_2" hidden="1">"#"</definedName>
    <definedName name="FDC_123_3" hidden="1">"#"</definedName>
    <definedName name="FDC_123_4" hidden="1">"#"</definedName>
    <definedName name="FDC_123_5" hidden="1">"#"</definedName>
    <definedName name="FDC_123_6" hidden="1">"#"</definedName>
    <definedName name="FDC_123_7" hidden="1">"#"</definedName>
    <definedName name="FDC_123_8" hidden="1">"#"</definedName>
    <definedName name="FDC_123_9" hidden="1">"#"</definedName>
    <definedName name="FDC_124_0" hidden="1">"#"</definedName>
    <definedName name="FDC_124_1" hidden="1">"#"</definedName>
    <definedName name="FDC_124_10" hidden="1">"#"</definedName>
    <definedName name="FDC_124_11" hidden="1">"#"</definedName>
    <definedName name="FDC_124_12" hidden="1">"#"</definedName>
    <definedName name="FDC_124_13" hidden="1">"#"</definedName>
    <definedName name="FDC_124_14" hidden="1">"#"</definedName>
    <definedName name="FDC_124_2" hidden="1">"#"</definedName>
    <definedName name="FDC_124_3" hidden="1">"#"</definedName>
    <definedName name="FDC_124_4" hidden="1">"#"</definedName>
    <definedName name="FDC_124_5" hidden="1">"#"</definedName>
    <definedName name="FDC_124_6" hidden="1">"#"</definedName>
    <definedName name="FDC_124_7" hidden="1">"#"</definedName>
    <definedName name="FDC_124_8" hidden="1">"#"</definedName>
    <definedName name="FDC_124_9" hidden="1">"#"</definedName>
    <definedName name="FDC_125_0" hidden="1">"#"</definedName>
    <definedName name="FDC_125_1" hidden="1">"#"</definedName>
    <definedName name="FDC_125_10" hidden="1">"#"</definedName>
    <definedName name="FDC_125_11" hidden="1">"#"</definedName>
    <definedName name="FDC_125_12" hidden="1">"#"</definedName>
    <definedName name="FDC_125_13" hidden="1">"#"</definedName>
    <definedName name="FDC_125_14" hidden="1">"#"</definedName>
    <definedName name="FDC_125_2" hidden="1">"#"</definedName>
    <definedName name="FDC_125_3" hidden="1">"#"</definedName>
    <definedName name="FDC_125_4" hidden="1">"#"</definedName>
    <definedName name="FDC_125_5" hidden="1">"#"</definedName>
    <definedName name="FDC_125_6" hidden="1">"#"</definedName>
    <definedName name="FDC_125_7" hidden="1">"#"</definedName>
    <definedName name="FDC_125_8" hidden="1">"#"</definedName>
    <definedName name="FDC_125_9" hidden="1">"#"</definedName>
    <definedName name="FDC_126_0" hidden="1">"#"</definedName>
    <definedName name="FDC_126_1" hidden="1">"#"</definedName>
    <definedName name="FDC_126_10" hidden="1">"#"</definedName>
    <definedName name="FDC_126_11" hidden="1">"#"</definedName>
    <definedName name="FDC_126_12" hidden="1">"#"</definedName>
    <definedName name="FDC_126_13" hidden="1">"#"</definedName>
    <definedName name="FDC_126_14" hidden="1">"#"</definedName>
    <definedName name="FDC_126_2" hidden="1">"#"</definedName>
    <definedName name="FDC_126_3" hidden="1">"#"</definedName>
    <definedName name="FDC_126_4" hidden="1">"#"</definedName>
    <definedName name="FDC_126_5" hidden="1">"#"</definedName>
    <definedName name="FDC_126_6" hidden="1">"#"</definedName>
    <definedName name="FDC_126_7" hidden="1">"#"</definedName>
    <definedName name="FDC_126_8" hidden="1">"#"</definedName>
    <definedName name="FDC_126_9" hidden="1">"#"</definedName>
    <definedName name="FDC_127_0" hidden="1">"#"</definedName>
    <definedName name="FDC_127_1" hidden="1">"#"</definedName>
    <definedName name="FDC_127_10" hidden="1">"#"</definedName>
    <definedName name="FDC_127_11" hidden="1">"#"</definedName>
    <definedName name="FDC_127_12" hidden="1">"#"</definedName>
    <definedName name="FDC_127_13" hidden="1">"#"</definedName>
    <definedName name="FDC_127_14" hidden="1">"#"</definedName>
    <definedName name="FDC_127_2" hidden="1">"#"</definedName>
    <definedName name="FDC_127_3" hidden="1">"#"</definedName>
    <definedName name="FDC_127_4" hidden="1">"#"</definedName>
    <definedName name="FDC_127_5" hidden="1">"#"</definedName>
    <definedName name="FDC_127_6" hidden="1">"#"</definedName>
    <definedName name="FDC_127_7" hidden="1">"#"</definedName>
    <definedName name="FDC_127_8" hidden="1">"#"</definedName>
    <definedName name="FDC_127_9" hidden="1">"#"</definedName>
    <definedName name="FDC_128_0" hidden="1">"#"</definedName>
    <definedName name="FDC_128_1" hidden="1">"#"</definedName>
    <definedName name="FDC_128_10" hidden="1">"#"</definedName>
    <definedName name="FDC_128_11" hidden="1">"#"</definedName>
    <definedName name="FDC_128_12" hidden="1">"#"</definedName>
    <definedName name="FDC_128_13" hidden="1">"#"</definedName>
    <definedName name="FDC_128_14" hidden="1">"#"</definedName>
    <definedName name="FDC_128_2" hidden="1">"#"</definedName>
    <definedName name="FDC_128_3" hidden="1">"#"</definedName>
    <definedName name="FDC_128_4" hidden="1">"#"</definedName>
    <definedName name="FDC_128_5" hidden="1">"#"</definedName>
    <definedName name="FDC_128_6" hidden="1">"#"</definedName>
    <definedName name="FDC_128_7" hidden="1">"#"</definedName>
    <definedName name="FDC_128_8" hidden="1">"#"</definedName>
    <definedName name="FDC_128_9" hidden="1">"#"</definedName>
    <definedName name="FDC_129_0" hidden="1">"#"</definedName>
    <definedName name="FDC_129_1" hidden="1">"#"</definedName>
    <definedName name="FDC_129_10" hidden="1">"#"</definedName>
    <definedName name="FDC_129_11" hidden="1">"#"</definedName>
    <definedName name="FDC_129_12" hidden="1">"#"</definedName>
    <definedName name="FDC_129_13" hidden="1">"#"</definedName>
    <definedName name="FDC_129_14" hidden="1">"#"</definedName>
    <definedName name="FDC_129_2" hidden="1">"#"</definedName>
    <definedName name="FDC_129_3" hidden="1">"#"</definedName>
    <definedName name="FDC_129_4" hidden="1">"#"</definedName>
    <definedName name="FDC_129_5" hidden="1">"#"</definedName>
    <definedName name="FDC_129_6" hidden="1">"#"</definedName>
    <definedName name="FDC_129_7" hidden="1">"#"</definedName>
    <definedName name="FDC_129_8" hidden="1">"#"</definedName>
    <definedName name="FDC_129_9" hidden="1">"#"</definedName>
    <definedName name="FDC_13_0" hidden="1">"#"</definedName>
    <definedName name="FDC_130_0" hidden="1">"#"</definedName>
    <definedName name="FDC_130_1" hidden="1">"#"</definedName>
    <definedName name="FDC_130_10" hidden="1">"#"</definedName>
    <definedName name="FDC_130_11" hidden="1">"#"</definedName>
    <definedName name="FDC_130_12" hidden="1">"#"</definedName>
    <definedName name="FDC_130_13" hidden="1">"#"</definedName>
    <definedName name="FDC_130_14" hidden="1">"#"</definedName>
    <definedName name="FDC_130_2" hidden="1">"#"</definedName>
    <definedName name="FDC_130_3" hidden="1">"#"</definedName>
    <definedName name="FDC_130_4" hidden="1">"#"</definedName>
    <definedName name="FDC_130_5" hidden="1">"#"</definedName>
    <definedName name="FDC_130_6" hidden="1">"#"</definedName>
    <definedName name="FDC_130_7" hidden="1">"#"</definedName>
    <definedName name="FDC_130_8" hidden="1">"#"</definedName>
    <definedName name="FDC_130_9" hidden="1">"#"</definedName>
    <definedName name="FDC_131_0" hidden="1">"#"</definedName>
    <definedName name="FDC_131_1" hidden="1">"#"</definedName>
    <definedName name="FDC_131_10" hidden="1">"#"</definedName>
    <definedName name="FDC_131_11" hidden="1">"#"</definedName>
    <definedName name="FDC_131_12" hidden="1">"#"</definedName>
    <definedName name="FDC_131_13" hidden="1">"#"</definedName>
    <definedName name="FDC_131_14" hidden="1">"#"</definedName>
    <definedName name="FDC_131_2" hidden="1">"#"</definedName>
    <definedName name="FDC_131_3" hidden="1">"#"</definedName>
    <definedName name="FDC_131_4" hidden="1">"#"</definedName>
    <definedName name="FDC_131_5" hidden="1">"#"</definedName>
    <definedName name="FDC_131_6" hidden="1">"#"</definedName>
    <definedName name="FDC_131_7" hidden="1">"#"</definedName>
    <definedName name="FDC_131_8" hidden="1">"#"</definedName>
    <definedName name="FDC_131_9" hidden="1">"#"</definedName>
    <definedName name="FDC_132_0" hidden="1">"#"</definedName>
    <definedName name="FDC_132_1" hidden="1">"#"</definedName>
    <definedName name="FDC_132_10" hidden="1">"#"</definedName>
    <definedName name="FDC_132_11" hidden="1">"#"</definedName>
    <definedName name="FDC_132_12" hidden="1">"#"</definedName>
    <definedName name="FDC_132_13" hidden="1">"#"</definedName>
    <definedName name="FDC_132_14" hidden="1">"#"</definedName>
    <definedName name="FDC_132_2" hidden="1">"#"</definedName>
    <definedName name="FDC_132_3" hidden="1">"#"</definedName>
    <definedName name="FDC_132_4" hidden="1">"#"</definedName>
    <definedName name="FDC_132_5" hidden="1">"#"</definedName>
    <definedName name="FDC_132_6" hidden="1">"#"</definedName>
    <definedName name="FDC_132_7" hidden="1">"#"</definedName>
    <definedName name="FDC_132_8" hidden="1">"#"</definedName>
    <definedName name="FDC_132_9" hidden="1">"#"</definedName>
    <definedName name="FDC_133_0" hidden="1">"#"</definedName>
    <definedName name="FDC_133_1" hidden="1">"#"</definedName>
    <definedName name="FDC_133_10" hidden="1">"#"</definedName>
    <definedName name="FDC_133_11" hidden="1">"#"</definedName>
    <definedName name="FDC_133_12" hidden="1">"#"</definedName>
    <definedName name="FDC_133_13" hidden="1">"#"</definedName>
    <definedName name="FDC_133_14" hidden="1">"#"</definedName>
    <definedName name="FDC_133_2" hidden="1">"#"</definedName>
    <definedName name="FDC_133_3" hidden="1">"#"</definedName>
    <definedName name="FDC_133_4" hidden="1">"#"</definedName>
    <definedName name="FDC_133_5" hidden="1">"#"</definedName>
    <definedName name="FDC_133_6" hidden="1">"#"</definedName>
    <definedName name="FDC_133_7" hidden="1">"#"</definedName>
    <definedName name="FDC_133_8" hidden="1">"#"</definedName>
    <definedName name="FDC_133_9" hidden="1">"#"</definedName>
    <definedName name="FDC_134_0" hidden="1">"#"</definedName>
    <definedName name="FDC_134_1" hidden="1">"#"</definedName>
    <definedName name="FDC_134_10" hidden="1">"#"</definedName>
    <definedName name="FDC_134_11" hidden="1">"#"</definedName>
    <definedName name="FDC_134_12" hidden="1">"#"</definedName>
    <definedName name="FDC_134_13" hidden="1">"#"</definedName>
    <definedName name="FDC_134_14" hidden="1">"#"</definedName>
    <definedName name="FDC_134_2" hidden="1">"#"</definedName>
    <definedName name="FDC_134_3" hidden="1">"#"</definedName>
    <definedName name="FDC_134_4" hidden="1">"#"</definedName>
    <definedName name="FDC_134_5" hidden="1">"#"</definedName>
    <definedName name="FDC_134_6" hidden="1">"#"</definedName>
    <definedName name="FDC_134_7" hidden="1">"#"</definedName>
    <definedName name="FDC_134_8" hidden="1">"#"</definedName>
    <definedName name="FDC_134_9" hidden="1">"#"</definedName>
    <definedName name="FDC_135_0" hidden="1">"#"</definedName>
    <definedName name="FDC_135_1" hidden="1">"#"</definedName>
    <definedName name="FDC_135_10" hidden="1">"#"</definedName>
    <definedName name="FDC_135_11" hidden="1">"#"</definedName>
    <definedName name="FDC_135_12" hidden="1">"#"</definedName>
    <definedName name="FDC_135_13" hidden="1">"#"</definedName>
    <definedName name="FDC_135_14" hidden="1">"#"</definedName>
    <definedName name="FDC_135_2" hidden="1">"#"</definedName>
    <definedName name="FDC_135_3" hidden="1">"#"</definedName>
    <definedName name="FDC_135_4" hidden="1">"#"</definedName>
    <definedName name="FDC_135_5" hidden="1">"#"</definedName>
    <definedName name="FDC_135_6" hidden="1">"#"</definedName>
    <definedName name="FDC_135_7" hidden="1">"#"</definedName>
    <definedName name="FDC_135_8" hidden="1">"#"</definedName>
    <definedName name="FDC_135_9" hidden="1">"#"</definedName>
    <definedName name="FDC_136_0" hidden="1">"#"</definedName>
    <definedName name="FDC_136_1" hidden="1">"#"</definedName>
    <definedName name="FDC_136_10" hidden="1">"#"</definedName>
    <definedName name="FDC_136_11" hidden="1">"#"</definedName>
    <definedName name="FDC_136_12" hidden="1">"#"</definedName>
    <definedName name="FDC_136_13" hidden="1">"#"</definedName>
    <definedName name="FDC_136_14" hidden="1">"#"</definedName>
    <definedName name="FDC_136_2" hidden="1">"#"</definedName>
    <definedName name="FDC_136_3" hidden="1">"#"</definedName>
    <definedName name="FDC_136_4" hidden="1">"#"</definedName>
    <definedName name="FDC_136_5" hidden="1">"#"</definedName>
    <definedName name="FDC_136_6" hidden="1">"#"</definedName>
    <definedName name="FDC_136_7" hidden="1">"#"</definedName>
    <definedName name="FDC_136_8" hidden="1">"#"</definedName>
    <definedName name="FDC_136_9" hidden="1">"#"</definedName>
    <definedName name="FDC_137_0" hidden="1">"#"</definedName>
    <definedName name="FDC_137_1" hidden="1">"#"</definedName>
    <definedName name="FDC_137_10" hidden="1">"#"</definedName>
    <definedName name="FDC_137_11" hidden="1">"#"</definedName>
    <definedName name="FDC_137_12" hidden="1">"#"</definedName>
    <definedName name="FDC_137_13" hidden="1">"#"</definedName>
    <definedName name="FDC_137_14" hidden="1">"#"</definedName>
    <definedName name="FDC_137_2" hidden="1">"#"</definedName>
    <definedName name="FDC_137_3" hidden="1">"#"</definedName>
    <definedName name="FDC_137_4" hidden="1">"#"</definedName>
    <definedName name="FDC_137_5" hidden="1">"#"</definedName>
    <definedName name="FDC_137_6" hidden="1">"#"</definedName>
    <definedName name="FDC_137_7" hidden="1">"#"</definedName>
    <definedName name="FDC_137_8" hidden="1">"#"</definedName>
    <definedName name="FDC_137_9" hidden="1">"#"</definedName>
    <definedName name="FDC_138_0" hidden="1">"#"</definedName>
    <definedName name="FDC_138_1" hidden="1">"#"</definedName>
    <definedName name="FDC_138_10" hidden="1">"#"</definedName>
    <definedName name="FDC_138_11" hidden="1">"#"</definedName>
    <definedName name="FDC_138_12" hidden="1">"#"</definedName>
    <definedName name="FDC_138_13" hidden="1">"#"</definedName>
    <definedName name="FDC_138_14" hidden="1">"#"</definedName>
    <definedName name="FDC_138_2" hidden="1">"#"</definedName>
    <definedName name="FDC_138_3" hidden="1">"#"</definedName>
    <definedName name="FDC_138_4" hidden="1">"#"</definedName>
    <definedName name="FDC_138_5" hidden="1">"#"</definedName>
    <definedName name="FDC_138_6" hidden="1">"#"</definedName>
    <definedName name="FDC_138_7" hidden="1">"#"</definedName>
    <definedName name="FDC_138_8" hidden="1">"#"</definedName>
    <definedName name="FDC_138_9" hidden="1">"#"</definedName>
    <definedName name="FDC_139_0" hidden="1">"#"</definedName>
    <definedName name="FDC_139_1" hidden="1">"#"</definedName>
    <definedName name="FDC_139_10" hidden="1">"#"</definedName>
    <definedName name="FDC_139_11" hidden="1">"#"</definedName>
    <definedName name="FDC_139_12" hidden="1">"#"</definedName>
    <definedName name="FDC_139_13" hidden="1">"#"</definedName>
    <definedName name="FDC_139_14" hidden="1">"#"</definedName>
    <definedName name="FDC_139_2" hidden="1">"#"</definedName>
    <definedName name="FDC_139_3" hidden="1">"#"</definedName>
    <definedName name="FDC_139_4" hidden="1">"#"</definedName>
    <definedName name="FDC_139_5" hidden="1">"#"</definedName>
    <definedName name="FDC_139_6" hidden="1">"#"</definedName>
    <definedName name="FDC_139_7" hidden="1">"#"</definedName>
    <definedName name="FDC_139_8" hidden="1">"#"</definedName>
    <definedName name="FDC_139_9" hidden="1">"#"</definedName>
    <definedName name="FDC_14_0" hidden="1">"#"</definedName>
    <definedName name="FDC_140_0" hidden="1">"#"</definedName>
    <definedName name="FDC_140_1" hidden="1">"#"</definedName>
    <definedName name="FDC_140_10" hidden="1">"#"</definedName>
    <definedName name="FDC_140_11" hidden="1">"#"</definedName>
    <definedName name="FDC_140_12" hidden="1">"#"</definedName>
    <definedName name="FDC_140_13" hidden="1">"#"</definedName>
    <definedName name="FDC_140_14" hidden="1">"#"</definedName>
    <definedName name="FDC_140_2" hidden="1">"#"</definedName>
    <definedName name="FDC_140_3" hidden="1">"#"</definedName>
    <definedName name="FDC_140_4" hidden="1">"#"</definedName>
    <definedName name="FDC_140_5" hidden="1">"#"</definedName>
    <definedName name="FDC_140_6" hidden="1">"#"</definedName>
    <definedName name="FDC_140_7" hidden="1">"#"</definedName>
    <definedName name="FDC_140_8" hidden="1">"#"</definedName>
    <definedName name="FDC_140_9" hidden="1">"#"</definedName>
    <definedName name="FDC_141_0" hidden="1">"#"</definedName>
    <definedName name="FDC_141_1" hidden="1">"#"</definedName>
    <definedName name="FDC_141_10" hidden="1">"#"</definedName>
    <definedName name="FDC_141_11" hidden="1">"#"</definedName>
    <definedName name="FDC_141_12" hidden="1">"#"</definedName>
    <definedName name="FDC_141_13" hidden="1">"#"</definedName>
    <definedName name="FDC_141_14" hidden="1">"#"</definedName>
    <definedName name="FDC_141_2" hidden="1">"#"</definedName>
    <definedName name="FDC_141_3" hidden="1">"#"</definedName>
    <definedName name="FDC_141_4" hidden="1">"#"</definedName>
    <definedName name="FDC_141_5" hidden="1">"#"</definedName>
    <definedName name="FDC_141_6" hidden="1">"#"</definedName>
    <definedName name="FDC_141_7" hidden="1">"#"</definedName>
    <definedName name="FDC_141_8" hidden="1">"#"</definedName>
    <definedName name="FDC_141_9" hidden="1">"#"</definedName>
    <definedName name="FDC_142_0" hidden="1">"#"</definedName>
    <definedName name="FDC_142_1" hidden="1">"#"</definedName>
    <definedName name="FDC_142_10" hidden="1">"#"</definedName>
    <definedName name="FDC_142_11" hidden="1">"#"</definedName>
    <definedName name="FDC_142_12" hidden="1">"#"</definedName>
    <definedName name="FDC_142_13" hidden="1">"#"</definedName>
    <definedName name="FDC_142_14" hidden="1">"#"</definedName>
    <definedName name="FDC_142_2" hidden="1">"#"</definedName>
    <definedName name="FDC_142_3" hidden="1">"#"</definedName>
    <definedName name="FDC_142_4" hidden="1">"#"</definedName>
    <definedName name="FDC_142_5" hidden="1">"#"</definedName>
    <definedName name="FDC_142_6" hidden="1">"#"</definedName>
    <definedName name="FDC_142_7" hidden="1">"#"</definedName>
    <definedName name="FDC_142_8" hidden="1">"#"</definedName>
    <definedName name="FDC_142_9" hidden="1">"#"</definedName>
    <definedName name="FDC_143_0" hidden="1">"#"</definedName>
    <definedName name="FDC_143_1" hidden="1">"#"</definedName>
    <definedName name="FDC_143_10" hidden="1">"#"</definedName>
    <definedName name="FDC_143_11" hidden="1">"#"</definedName>
    <definedName name="FDC_143_12" hidden="1">"#"</definedName>
    <definedName name="FDC_143_13" hidden="1">"#"</definedName>
    <definedName name="FDC_143_14" hidden="1">"#"</definedName>
    <definedName name="FDC_143_2" hidden="1">"#"</definedName>
    <definedName name="FDC_143_3" hidden="1">"#"</definedName>
    <definedName name="FDC_143_4" hidden="1">"#"</definedName>
    <definedName name="FDC_143_5" hidden="1">"#"</definedName>
    <definedName name="FDC_143_6" hidden="1">"#"</definedName>
    <definedName name="FDC_143_7" hidden="1">"#"</definedName>
    <definedName name="FDC_143_8" hidden="1">"#"</definedName>
    <definedName name="FDC_143_9" hidden="1">"#"</definedName>
    <definedName name="FDC_144_0" hidden="1">"#"</definedName>
    <definedName name="FDC_144_1" hidden="1">"#"</definedName>
    <definedName name="FDC_144_10" hidden="1">"#"</definedName>
    <definedName name="FDC_144_11" hidden="1">"#"</definedName>
    <definedName name="FDC_144_12" hidden="1">"#"</definedName>
    <definedName name="FDC_144_13" hidden="1">"#"</definedName>
    <definedName name="FDC_144_14" hidden="1">"#"</definedName>
    <definedName name="FDC_144_2" hidden="1">"#"</definedName>
    <definedName name="FDC_144_3" hidden="1">"#"</definedName>
    <definedName name="FDC_144_4" hidden="1">"#"</definedName>
    <definedName name="FDC_144_5" hidden="1">"#"</definedName>
    <definedName name="FDC_144_6" hidden="1">"#"</definedName>
    <definedName name="FDC_144_7" hidden="1">"#"</definedName>
    <definedName name="FDC_144_8" hidden="1">"#"</definedName>
    <definedName name="FDC_144_9" hidden="1">"#"</definedName>
    <definedName name="FDC_145_0" hidden="1">"#"</definedName>
    <definedName name="FDC_145_1" hidden="1">"#"</definedName>
    <definedName name="FDC_145_10" hidden="1">"#"</definedName>
    <definedName name="FDC_145_11" hidden="1">"#"</definedName>
    <definedName name="FDC_145_12" hidden="1">"#"</definedName>
    <definedName name="FDC_145_13" hidden="1">"#"</definedName>
    <definedName name="FDC_145_14" hidden="1">"#"</definedName>
    <definedName name="FDC_145_2" hidden="1">"#"</definedName>
    <definedName name="FDC_145_3" hidden="1">"#"</definedName>
    <definedName name="FDC_145_4" hidden="1">"#"</definedName>
    <definedName name="FDC_145_5" hidden="1">"#"</definedName>
    <definedName name="FDC_145_6" hidden="1">"#"</definedName>
    <definedName name="FDC_145_7" hidden="1">"#"</definedName>
    <definedName name="FDC_145_8" hidden="1">"#"</definedName>
    <definedName name="FDC_145_9" hidden="1">"#"</definedName>
    <definedName name="FDC_146_0" hidden="1">"#"</definedName>
    <definedName name="FDC_146_1" hidden="1">"#"</definedName>
    <definedName name="FDC_146_10" hidden="1">"#"</definedName>
    <definedName name="FDC_146_11" hidden="1">"#"</definedName>
    <definedName name="FDC_146_12" hidden="1">"#"</definedName>
    <definedName name="FDC_146_13" hidden="1">"#"</definedName>
    <definedName name="FDC_146_14" hidden="1">"#"</definedName>
    <definedName name="FDC_146_2" hidden="1">"#"</definedName>
    <definedName name="FDC_146_3" hidden="1">"#"</definedName>
    <definedName name="FDC_146_4" hidden="1">"#"</definedName>
    <definedName name="FDC_146_5" hidden="1">"#"</definedName>
    <definedName name="FDC_146_6" hidden="1">"#"</definedName>
    <definedName name="FDC_146_7" hidden="1">"#"</definedName>
    <definedName name="FDC_146_8" hidden="1">"#"</definedName>
    <definedName name="FDC_146_9" hidden="1">"#"</definedName>
    <definedName name="FDC_147_0" hidden="1">"#"</definedName>
    <definedName name="FDC_147_1" hidden="1">"#"</definedName>
    <definedName name="FDC_147_10" hidden="1">"#"</definedName>
    <definedName name="FDC_147_11" hidden="1">"#"</definedName>
    <definedName name="FDC_147_12" hidden="1">"#"</definedName>
    <definedName name="FDC_147_13" hidden="1">"#"</definedName>
    <definedName name="FDC_147_14" hidden="1">"#"</definedName>
    <definedName name="FDC_147_2" hidden="1">"#"</definedName>
    <definedName name="FDC_147_3" hidden="1">"#"</definedName>
    <definedName name="FDC_147_4" hidden="1">"#"</definedName>
    <definedName name="FDC_147_5" hidden="1">"#"</definedName>
    <definedName name="FDC_147_6" hidden="1">"#"</definedName>
    <definedName name="FDC_147_7" hidden="1">"#"</definedName>
    <definedName name="FDC_147_8" hidden="1">"#"</definedName>
    <definedName name="FDC_147_9" hidden="1">"#"</definedName>
    <definedName name="FDC_148_0" hidden="1">"#"</definedName>
    <definedName name="FDC_148_1" hidden="1">"#"</definedName>
    <definedName name="FDC_148_10" hidden="1">"#"</definedName>
    <definedName name="FDC_148_11" hidden="1">"#"</definedName>
    <definedName name="FDC_148_12" hidden="1">"#"</definedName>
    <definedName name="FDC_148_13" hidden="1">"#"</definedName>
    <definedName name="FDC_148_14" hidden="1">"#"</definedName>
    <definedName name="FDC_148_2" hidden="1">"#"</definedName>
    <definedName name="FDC_148_3" hidden="1">"#"</definedName>
    <definedName name="FDC_148_4" hidden="1">"#"</definedName>
    <definedName name="FDC_148_5" hidden="1">"#"</definedName>
    <definedName name="FDC_148_6" hidden="1">"#"</definedName>
    <definedName name="FDC_148_7" hidden="1">"#"</definedName>
    <definedName name="FDC_148_8" hidden="1">"#"</definedName>
    <definedName name="FDC_148_9" hidden="1">"#"</definedName>
    <definedName name="FDC_149_0" hidden="1">"#"</definedName>
    <definedName name="FDC_149_1" hidden="1">"#"</definedName>
    <definedName name="FDC_149_10" hidden="1">"#"</definedName>
    <definedName name="FDC_149_11" hidden="1">"#"</definedName>
    <definedName name="FDC_149_12" hidden="1">"#"</definedName>
    <definedName name="FDC_149_13" hidden="1">"#"</definedName>
    <definedName name="FDC_149_14" hidden="1">"#"</definedName>
    <definedName name="FDC_149_2" hidden="1">"#"</definedName>
    <definedName name="FDC_149_3" hidden="1">"#"</definedName>
    <definedName name="FDC_149_4" hidden="1">"#"</definedName>
    <definedName name="FDC_149_5" hidden="1">"#"</definedName>
    <definedName name="FDC_149_6" hidden="1">"#"</definedName>
    <definedName name="FDC_149_7" hidden="1">"#"</definedName>
    <definedName name="FDC_149_8" hidden="1">"#"</definedName>
    <definedName name="FDC_149_9" hidden="1">"#"</definedName>
    <definedName name="FDC_15_0" hidden="1">"#"</definedName>
    <definedName name="FDC_150_0" hidden="1">"#"</definedName>
    <definedName name="FDC_150_1" hidden="1">"#"</definedName>
    <definedName name="FDC_150_10" hidden="1">"#"</definedName>
    <definedName name="FDC_150_11" hidden="1">"#"</definedName>
    <definedName name="FDC_150_12" hidden="1">"#"</definedName>
    <definedName name="FDC_150_13" hidden="1">"#"</definedName>
    <definedName name="FDC_150_14" hidden="1">"#"</definedName>
    <definedName name="FDC_150_2" hidden="1">"#"</definedName>
    <definedName name="FDC_150_3" hidden="1">"#"</definedName>
    <definedName name="FDC_150_4" hidden="1">"#"</definedName>
    <definedName name="FDC_150_5" hidden="1">"#"</definedName>
    <definedName name="FDC_150_6" hidden="1">"#"</definedName>
    <definedName name="FDC_150_7" hidden="1">"#"</definedName>
    <definedName name="FDC_150_8" hidden="1">"#"</definedName>
    <definedName name="FDC_150_9" hidden="1">"#"</definedName>
    <definedName name="FDC_151_0" hidden="1">"#"</definedName>
    <definedName name="FDC_151_1" hidden="1">"#"</definedName>
    <definedName name="FDC_151_10" hidden="1">"#"</definedName>
    <definedName name="FDC_151_11" hidden="1">"#"</definedName>
    <definedName name="FDC_151_12" hidden="1">"#"</definedName>
    <definedName name="FDC_151_13" hidden="1">"#"</definedName>
    <definedName name="FDC_151_14" hidden="1">"#"</definedName>
    <definedName name="FDC_151_15" hidden="1">"#"</definedName>
    <definedName name="FDC_151_2" hidden="1">"#"</definedName>
    <definedName name="FDC_151_3" hidden="1">"#"</definedName>
    <definedName name="FDC_151_4" hidden="1">"#"</definedName>
    <definedName name="FDC_151_5" hidden="1">"#"</definedName>
    <definedName name="FDC_151_6" hidden="1">"#"</definedName>
    <definedName name="FDC_151_7" hidden="1">"#"</definedName>
    <definedName name="FDC_151_8" hidden="1">"#"</definedName>
    <definedName name="FDC_151_9" hidden="1">"#"</definedName>
    <definedName name="FDC_152_0" hidden="1">"#"</definedName>
    <definedName name="FDC_152_1" hidden="1">"#"</definedName>
    <definedName name="FDC_152_10" hidden="1">"#"</definedName>
    <definedName name="FDC_152_11" hidden="1">"#"</definedName>
    <definedName name="FDC_152_12" hidden="1">"#"</definedName>
    <definedName name="FDC_152_13" hidden="1">"#"</definedName>
    <definedName name="FDC_152_14" hidden="1">"#"</definedName>
    <definedName name="FDC_152_15" hidden="1">"#"</definedName>
    <definedName name="FDC_152_2" hidden="1">"#"</definedName>
    <definedName name="FDC_152_3" hidden="1">"#"</definedName>
    <definedName name="FDC_152_4" hidden="1">"#"</definedName>
    <definedName name="FDC_152_5" hidden="1">"#"</definedName>
    <definedName name="FDC_152_6" hidden="1">"#"</definedName>
    <definedName name="FDC_152_7" hidden="1">"#"</definedName>
    <definedName name="FDC_152_8" hidden="1">"#"</definedName>
    <definedName name="FDC_152_9" hidden="1">"#"</definedName>
    <definedName name="FDC_153_0" hidden="1">"#"</definedName>
    <definedName name="FDC_153_1" hidden="1">"#"</definedName>
    <definedName name="FDC_153_10" hidden="1">"#"</definedName>
    <definedName name="FDC_153_11" hidden="1">"#"</definedName>
    <definedName name="FDC_153_12" hidden="1">"#"</definedName>
    <definedName name="FDC_153_13" hidden="1">"#"</definedName>
    <definedName name="FDC_153_14" hidden="1">"#"</definedName>
    <definedName name="FDC_153_2" hidden="1">"#"</definedName>
    <definedName name="FDC_153_3" hidden="1">"#"</definedName>
    <definedName name="FDC_153_4" hidden="1">"#"</definedName>
    <definedName name="FDC_153_5" hidden="1">"#"</definedName>
    <definedName name="FDC_153_6" hidden="1">"#"</definedName>
    <definedName name="FDC_153_7" hidden="1">"#"</definedName>
    <definedName name="FDC_153_8" hidden="1">"#"</definedName>
    <definedName name="FDC_153_9" hidden="1">"#"</definedName>
    <definedName name="FDC_154_0" hidden="1">"#"</definedName>
    <definedName name="FDC_154_1" hidden="1">"#"</definedName>
    <definedName name="FDC_154_10" hidden="1">"#"</definedName>
    <definedName name="FDC_154_11" hidden="1">"#"</definedName>
    <definedName name="FDC_154_12" hidden="1">"#"</definedName>
    <definedName name="FDC_154_13" hidden="1">"#"</definedName>
    <definedName name="FDC_154_14" hidden="1">"#"</definedName>
    <definedName name="FDC_154_2" hidden="1">"#"</definedName>
    <definedName name="FDC_154_3" hidden="1">"#"</definedName>
    <definedName name="FDC_154_4" hidden="1">"#"</definedName>
    <definedName name="FDC_154_5" hidden="1">"#"</definedName>
    <definedName name="FDC_154_6" hidden="1">"#"</definedName>
    <definedName name="FDC_154_7" hidden="1">"#"</definedName>
    <definedName name="FDC_154_8" hidden="1">"#"</definedName>
    <definedName name="FDC_154_9" hidden="1">"#"</definedName>
    <definedName name="FDC_155_0" hidden="1">"#"</definedName>
    <definedName name="FDC_155_1" hidden="1">"#"</definedName>
    <definedName name="FDC_155_10" hidden="1">"#"</definedName>
    <definedName name="FDC_155_11" hidden="1">"#"</definedName>
    <definedName name="FDC_155_12" hidden="1">"#"</definedName>
    <definedName name="FDC_155_13" hidden="1">"#"</definedName>
    <definedName name="FDC_155_14" hidden="1">"#"</definedName>
    <definedName name="FDC_155_15" hidden="1">"#"</definedName>
    <definedName name="FDC_155_2" hidden="1">"#"</definedName>
    <definedName name="FDC_155_3" hidden="1">"#"</definedName>
    <definedName name="FDC_155_4" hidden="1">"#"</definedName>
    <definedName name="FDC_155_5" hidden="1">"#"</definedName>
    <definedName name="FDC_155_6" hidden="1">"#"</definedName>
    <definedName name="FDC_155_7" hidden="1">"#"</definedName>
    <definedName name="FDC_155_8" hidden="1">"#"</definedName>
    <definedName name="FDC_155_9" hidden="1">"#"</definedName>
    <definedName name="FDC_156_0" hidden="1">"#"</definedName>
    <definedName name="FDC_156_1" hidden="1">"#"</definedName>
    <definedName name="FDC_156_10" hidden="1">"#"</definedName>
    <definedName name="FDC_156_11" hidden="1">"#"</definedName>
    <definedName name="FDC_156_12" hidden="1">"#"</definedName>
    <definedName name="FDC_156_13" hidden="1">"#"</definedName>
    <definedName name="FDC_156_14" hidden="1">"#"</definedName>
    <definedName name="FDC_156_15" hidden="1">"#"</definedName>
    <definedName name="FDC_156_2" hidden="1">"#"</definedName>
    <definedName name="FDC_156_3" hidden="1">"#"</definedName>
    <definedName name="FDC_156_4" hidden="1">"#"</definedName>
    <definedName name="FDC_156_5" hidden="1">"#"</definedName>
    <definedName name="FDC_156_6" hidden="1">"#"</definedName>
    <definedName name="FDC_156_7" hidden="1">"#"</definedName>
    <definedName name="FDC_156_8" hidden="1">"#"</definedName>
    <definedName name="FDC_156_9" hidden="1">"#"</definedName>
    <definedName name="FDC_157_0" hidden="1">"#"</definedName>
    <definedName name="FDC_157_1" hidden="1">"#"</definedName>
    <definedName name="FDC_157_10" hidden="1">"#"</definedName>
    <definedName name="FDC_157_100" hidden="1">"#"</definedName>
    <definedName name="FDC_157_101" hidden="1">"#"</definedName>
    <definedName name="FDC_157_102" hidden="1">"#"</definedName>
    <definedName name="FDC_157_103" hidden="1">"#"</definedName>
    <definedName name="FDC_157_104" hidden="1">"#"</definedName>
    <definedName name="FDC_157_105" hidden="1">"#"</definedName>
    <definedName name="FDC_157_106" hidden="1">"#"</definedName>
    <definedName name="FDC_157_107" hidden="1">"#"</definedName>
    <definedName name="FDC_157_108" hidden="1">"#"</definedName>
    <definedName name="FDC_157_109" hidden="1">"#"</definedName>
    <definedName name="FDC_157_11" hidden="1">"#"</definedName>
    <definedName name="FDC_157_110" hidden="1">"#"</definedName>
    <definedName name="FDC_157_111" hidden="1">"#"</definedName>
    <definedName name="FDC_157_112" hidden="1">"#"</definedName>
    <definedName name="FDC_157_113" hidden="1">"#"</definedName>
    <definedName name="FDC_157_114" hidden="1">"#"</definedName>
    <definedName name="FDC_157_115" hidden="1">"#"</definedName>
    <definedName name="FDC_157_116" hidden="1">"#"</definedName>
    <definedName name="FDC_157_117" hidden="1">"#"</definedName>
    <definedName name="FDC_157_118" hidden="1">"#"</definedName>
    <definedName name="FDC_157_119" hidden="1">"#"</definedName>
    <definedName name="FDC_157_12" hidden="1">"#"</definedName>
    <definedName name="FDC_157_120" hidden="1">"#"</definedName>
    <definedName name="FDC_157_121" hidden="1">"#"</definedName>
    <definedName name="FDC_157_122" hidden="1">"#"</definedName>
    <definedName name="FDC_157_123" hidden="1">"#"</definedName>
    <definedName name="FDC_157_124" hidden="1">"#"</definedName>
    <definedName name="FDC_157_125" hidden="1">"#"</definedName>
    <definedName name="FDC_157_126" hidden="1">"#"</definedName>
    <definedName name="FDC_157_127" hidden="1">"#"</definedName>
    <definedName name="FDC_157_128" hidden="1">"#"</definedName>
    <definedName name="FDC_157_129" hidden="1">"#"</definedName>
    <definedName name="FDC_157_13" hidden="1">"#"</definedName>
    <definedName name="FDC_157_130" hidden="1">"#"</definedName>
    <definedName name="FDC_157_131" hidden="1">"#"</definedName>
    <definedName name="FDC_157_132" hidden="1">"#"</definedName>
    <definedName name="FDC_157_133" hidden="1">"#"</definedName>
    <definedName name="FDC_157_134" hidden="1">"#"</definedName>
    <definedName name="FDC_157_135" hidden="1">"#"</definedName>
    <definedName name="FDC_157_136" hidden="1">"#"</definedName>
    <definedName name="FDC_157_137" hidden="1">"#"</definedName>
    <definedName name="FDC_157_138" hidden="1">"#"</definedName>
    <definedName name="FDC_157_139" hidden="1">"#"</definedName>
    <definedName name="FDC_157_14" hidden="1">"#"</definedName>
    <definedName name="FDC_157_140" hidden="1">"#"</definedName>
    <definedName name="FDC_157_141" hidden="1">"#"</definedName>
    <definedName name="FDC_157_142" hidden="1">"#"</definedName>
    <definedName name="FDC_157_143" hidden="1">"#"</definedName>
    <definedName name="FDC_157_144" hidden="1">"#"</definedName>
    <definedName name="FDC_157_145" hidden="1">"#"</definedName>
    <definedName name="FDC_157_146" hidden="1">"#"</definedName>
    <definedName name="FDC_157_147" hidden="1">"#"</definedName>
    <definedName name="FDC_157_148" hidden="1">"#"</definedName>
    <definedName name="FDC_157_149" hidden="1">"#"</definedName>
    <definedName name="FDC_157_15" hidden="1">"#"</definedName>
    <definedName name="FDC_157_150" hidden="1">"#"</definedName>
    <definedName name="FDC_157_151" hidden="1">"#"</definedName>
    <definedName name="FDC_157_152" hidden="1">"#"</definedName>
    <definedName name="FDC_157_153" hidden="1">"#"</definedName>
    <definedName name="FDC_157_154" hidden="1">"#"</definedName>
    <definedName name="FDC_157_155" hidden="1">"#"</definedName>
    <definedName name="FDC_157_156" hidden="1">"#"</definedName>
    <definedName name="FDC_157_157" hidden="1">"#"</definedName>
    <definedName name="FDC_157_158" hidden="1">"#"</definedName>
    <definedName name="FDC_157_159" hidden="1">"#"</definedName>
    <definedName name="FDC_157_16" hidden="1">"#"</definedName>
    <definedName name="FDC_157_160" hidden="1">"#"</definedName>
    <definedName name="FDC_157_161" hidden="1">"#"</definedName>
    <definedName name="FDC_157_162" hidden="1">"#"</definedName>
    <definedName name="FDC_157_163" hidden="1">"#"</definedName>
    <definedName name="FDC_157_164" hidden="1">"#"</definedName>
    <definedName name="FDC_157_165" hidden="1">"#"</definedName>
    <definedName name="FDC_157_166" hidden="1">"#"</definedName>
    <definedName name="FDC_157_167" hidden="1">"#"</definedName>
    <definedName name="FDC_157_168" hidden="1">"#"</definedName>
    <definedName name="FDC_157_169" hidden="1">"#"</definedName>
    <definedName name="FDC_157_17" hidden="1">"#"</definedName>
    <definedName name="FDC_157_170" hidden="1">"#"</definedName>
    <definedName name="FDC_157_171" hidden="1">"#"</definedName>
    <definedName name="FDC_157_172" hidden="1">"#"</definedName>
    <definedName name="FDC_157_173" hidden="1">"#"</definedName>
    <definedName name="FDC_157_174" hidden="1">"#"</definedName>
    <definedName name="FDC_157_175" hidden="1">"#"</definedName>
    <definedName name="FDC_157_176" hidden="1">"#"</definedName>
    <definedName name="FDC_157_177" hidden="1">"#"</definedName>
    <definedName name="FDC_157_178" hidden="1">"#"</definedName>
    <definedName name="FDC_157_179" hidden="1">"#"</definedName>
    <definedName name="FDC_157_18" hidden="1">"#"</definedName>
    <definedName name="FDC_157_180" hidden="1">"#"</definedName>
    <definedName name="FDC_157_181" hidden="1">"#"</definedName>
    <definedName name="FDC_157_182" hidden="1">"#"</definedName>
    <definedName name="FDC_157_183" hidden="1">"#"</definedName>
    <definedName name="FDC_157_184" hidden="1">"#"</definedName>
    <definedName name="FDC_157_185" hidden="1">"#"</definedName>
    <definedName name="FDC_157_186" hidden="1">"#"</definedName>
    <definedName name="FDC_157_187" hidden="1">"#"</definedName>
    <definedName name="FDC_157_188" hidden="1">"#"</definedName>
    <definedName name="FDC_157_189" hidden="1">"#"</definedName>
    <definedName name="FDC_157_19" hidden="1">"#"</definedName>
    <definedName name="FDC_157_190" hidden="1">"#"</definedName>
    <definedName name="FDC_157_191" hidden="1">"#"</definedName>
    <definedName name="FDC_157_192" hidden="1">"#"</definedName>
    <definedName name="FDC_157_193" hidden="1">"#"</definedName>
    <definedName name="FDC_157_194" hidden="1">"#"</definedName>
    <definedName name="FDC_157_195" hidden="1">"#"</definedName>
    <definedName name="FDC_157_196" hidden="1">"#"</definedName>
    <definedName name="FDC_157_197" hidden="1">"#"</definedName>
    <definedName name="FDC_157_198" hidden="1">"#"</definedName>
    <definedName name="FDC_157_199" hidden="1">"#"</definedName>
    <definedName name="FDC_157_2" hidden="1">"#"</definedName>
    <definedName name="FDC_157_20" hidden="1">"#"</definedName>
    <definedName name="FDC_157_200" hidden="1">"#"</definedName>
    <definedName name="FDC_157_201" hidden="1">"#"</definedName>
    <definedName name="FDC_157_202" hidden="1">"#"</definedName>
    <definedName name="FDC_157_203" hidden="1">"#"</definedName>
    <definedName name="FDC_157_204" hidden="1">"#"</definedName>
    <definedName name="FDC_157_205" hidden="1">"#"</definedName>
    <definedName name="FDC_157_206" hidden="1">"#"</definedName>
    <definedName name="FDC_157_207" hidden="1">"#"</definedName>
    <definedName name="FDC_157_208" hidden="1">"#"</definedName>
    <definedName name="FDC_157_209" hidden="1">"#"</definedName>
    <definedName name="FDC_157_21" hidden="1">"#"</definedName>
    <definedName name="FDC_157_210" hidden="1">"#"</definedName>
    <definedName name="FDC_157_211" hidden="1">"#"</definedName>
    <definedName name="FDC_157_212" hidden="1">"#"</definedName>
    <definedName name="FDC_157_213" hidden="1">"#"</definedName>
    <definedName name="FDC_157_214" hidden="1">"#"</definedName>
    <definedName name="FDC_157_215" hidden="1">"#"</definedName>
    <definedName name="FDC_157_216" hidden="1">"#"</definedName>
    <definedName name="FDC_157_217" hidden="1">"#"</definedName>
    <definedName name="FDC_157_218" hidden="1">"#"</definedName>
    <definedName name="FDC_157_219" hidden="1">"#"</definedName>
    <definedName name="FDC_157_22" hidden="1">"#"</definedName>
    <definedName name="FDC_157_220" hidden="1">"#"</definedName>
    <definedName name="FDC_157_221" hidden="1">"#"</definedName>
    <definedName name="FDC_157_222" hidden="1">"#"</definedName>
    <definedName name="FDC_157_223" hidden="1">"#"</definedName>
    <definedName name="FDC_157_224" hidden="1">"#"</definedName>
    <definedName name="FDC_157_225" hidden="1">"#"</definedName>
    <definedName name="FDC_157_226" hidden="1">"#"</definedName>
    <definedName name="FDC_157_227" hidden="1">"#"</definedName>
    <definedName name="FDC_157_228" hidden="1">"#"</definedName>
    <definedName name="FDC_157_229" hidden="1">"#"</definedName>
    <definedName name="FDC_157_23" hidden="1">"#"</definedName>
    <definedName name="FDC_157_230" hidden="1">"#"</definedName>
    <definedName name="FDC_157_231" hidden="1">"#"</definedName>
    <definedName name="FDC_157_232" hidden="1">"#"</definedName>
    <definedName name="FDC_157_233" hidden="1">"#"</definedName>
    <definedName name="FDC_157_234" hidden="1">"#"</definedName>
    <definedName name="FDC_157_235" hidden="1">"#"</definedName>
    <definedName name="FDC_157_236" hidden="1">"#"</definedName>
    <definedName name="FDC_157_237" hidden="1">"#"</definedName>
    <definedName name="FDC_157_238" hidden="1">"#"</definedName>
    <definedName name="FDC_157_239" hidden="1">"#"</definedName>
    <definedName name="FDC_157_24" hidden="1">"#"</definedName>
    <definedName name="FDC_157_240" hidden="1">"#"</definedName>
    <definedName name="FDC_157_241" hidden="1">"#"</definedName>
    <definedName name="FDC_157_242" hidden="1">"#"</definedName>
    <definedName name="FDC_157_243" hidden="1">"#"</definedName>
    <definedName name="FDC_157_244" hidden="1">"#"</definedName>
    <definedName name="FDC_157_245" hidden="1">"#"</definedName>
    <definedName name="FDC_157_246" hidden="1">"#"</definedName>
    <definedName name="FDC_157_247" hidden="1">"#"</definedName>
    <definedName name="FDC_157_248" hidden="1">"#"</definedName>
    <definedName name="FDC_157_249" hidden="1">"#"</definedName>
    <definedName name="FDC_157_25" hidden="1">"#"</definedName>
    <definedName name="FDC_157_250" hidden="1">"#"</definedName>
    <definedName name="FDC_157_251" hidden="1">"#"</definedName>
    <definedName name="FDC_157_252" hidden="1">"#"</definedName>
    <definedName name="FDC_157_26" hidden="1">"#"</definedName>
    <definedName name="FDC_157_27" hidden="1">"#"</definedName>
    <definedName name="FDC_157_28" hidden="1">"#"</definedName>
    <definedName name="FDC_157_29" hidden="1">"#"</definedName>
    <definedName name="FDC_157_3" hidden="1">"#"</definedName>
    <definedName name="FDC_157_30" hidden="1">"#"</definedName>
    <definedName name="FDC_157_31" hidden="1">"#"</definedName>
    <definedName name="FDC_157_32" hidden="1">"#"</definedName>
    <definedName name="FDC_157_33" hidden="1">"#"</definedName>
    <definedName name="FDC_157_34" hidden="1">"#"</definedName>
    <definedName name="FDC_157_35" hidden="1">"#"</definedName>
    <definedName name="FDC_157_36" hidden="1">"#"</definedName>
    <definedName name="FDC_157_37" hidden="1">"#"</definedName>
    <definedName name="FDC_157_38" hidden="1">"#"</definedName>
    <definedName name="FDC_157_39" hidden="1">"#"</definedName>
    <definedName name="FDC_157_4" hidden="1">"#"</definedName>
    <definedName name="FDC_157_40" hidden="1">"#"</definedName>
    <definedName name="FDC_157_41" hidden="1">"#"</definedName>
    <definedName name="FDC_157_42" hidden="1">"#"</definedName>
    <definedName name="FDC_157_43" hidden="1">"#"</definedName>
    <definedName name="FDC_157_44" hidden="1">"#"</definedName>
    <definedName name="FDC_157_45" hidden="1">"#"</definedName>
    <definedName name="FDC_157_46" hidden="1">"#"</definedName>
    <definedName name="FDC_157_47" hidden="1">"#"</definedName>
    <definedName name="FDC_157_48" hidden="1">"#"</definedName>
    <definedName name="FDC_157_49" hidden="1">"#"</definedName>
    <definedName name="FDC_157_5" hidden="1">"#"</definedName>
    <definedName name="FDC_157_50" hidden="1">"#"</definedName>
    <definedName name="FDC_157_51" hidden="1">"#"</definedName>
    <definedName name="FDC_157_52" hidden="1">"#"</definedName>
    <definedName name="FDC_157_53" hidden="1">"#"</definedName>
    <definedName name="FDC_157_54" hidden="1">"#"</definedName>
    <definedName name="FDC_157_55" hidden="1">"#"</definedName>
    <definedName name="FDC_157_56" hidden="1">"#"</definedName>
    <definedName name="FDC_157_57" hidden="1">"#"</definedName>
    <definedName name="FDC_157_58" hidden="1">"#"</definedName>
    <definedName name="FDC_157_59" hidden="1">"#"</definedName>
    <definedName name="FDC_157_6" hidden="1">"#"</definedName>
    <definedName name="FDC_157_60" hidden="1">"#"</definedName>
    <definedName name="FDC_157_61" hidden="1">"#"</definedName>
    <definedName name="FDC_157_62" hidden="1">"#"</definedName>
    <definedName name="FDC_157_63" hidden="1">"#"</definedName>
    <definedName name="FDC_157_64" hidden="1">"#"</definedName>
    <definedName name="FDC_157_65" hidden="1">"#"</definedName>
    <definedName name="FDC_157_66" hidden="1">"#"</definedName>
    <definedName name="FDC_157_67" hidden="1">"#"</definedName>
    <definedName name="FDC_157_68" hidden="1">"#"</definedName>
    <definedName name="FDC_157_69" hidden="1">"#"</definedName>
    <definedName name="FDC_157_7" hidden="1">"#"</definedName>
    <definedName name="FDC_157_70" hidden="1">"#"</definedName>
    <definedName name="FDC_157_71" hidden="1">"#"</definedName>
    <definedName name="FDC_157_72" hidden="1">"#"</definedName>
    <definedName name="FDC_157_73" hidden="1">"#"</definedName>
    <definedName name="FDC_157_74" hidden="1">"#"</definedName>
    <definedName name="FDC_157_75" hidden="1">"#"</definedName>
    <definedName name="FDC_157_76" hidden="1">"#"</definedName>
    <definedName name="FDC_157_77" hidden="1">"#"</definedName>
    <definedName name="FDC_157_78" hidden="1">"#"</definedName>
    <definedName name="FDC_157_79" hidden="1">"#"</definedName>
    <definedName name="FDC_157_8" hidden="1">"#"</definedName>
    <definedName name="FDC_157_80" hidden="1">"#"</definedName>
    <definedName name="FDC_157_81" hidden="1">"#"</definedName>
    <definedName name="FDC_157_82" hidden="1">"#"</definedName>
    <definedName name="FDC_157_83" hidden="1">"#"</definedName>
    <definedName name="FDC_157_84" hidden="1">"#"</definedName>
    <definedName name="FDC_157_85" hidden="1">"#"</definedName>
    <definedName name="FDC_157_86" hidden="1">"#"</definedName>
    <definedName name="FDC_157_87" hidden="1">"#"</definedName>
    <definedName name="FDC_157_88" hidden="1">"#"</definedName>
    <definedName name="FDC_157_89" hidden="1">"#"</definedName>
    <definedName name="FDC_157_9" hidden="1">"#"</definedName>
    <definedName name="FDC_157_90" hidden="1">"#"</definedName>
    <definedName name="FDC_157_91" hidden="1">"#"</definedName>
    <definedName name="FDC_157_92" hidden="1">"#"</definedName>
    <definedName name="FDC_157_93" hidden="1">"#"</definedName>
    <definedName name="FDC_157_94" hidden="1">"#"</definedName>
    <definedName name="FDC_157_95" hidden="1">"#"</definedName>
    <definedName name="FDC_157_96" hidden="1">"#"</definedName>
    <definedName name="FDC_157_97" hidden="1">"#"</definedName>
    <definedName name="FDC_157_98" hidden="1">"#"</definedName>
    <definedName name="FDC_157_99" hidden="1">"#"</definedName>
    <definedName name="FDC_158_0" hidden="1">"#"</definedName>
    <definedName name="FDC_158_1" hidden="1">"#"</definedName>
    <definedName name="FDC_158_10" hidden="1">"#"</definedName>
    <definedName name="FDC_158_11" hidden="1">"#"</definedName>
    <definedName name="FDC_158_12" hidden="1">"#"</definedName>
    <definedName name="FDC_158_13" hidden="1">"#"</definedName>
    <definedName name="FDC_158_14" hidden="1">"#"</definedName>
    <definedName name="FDC_158_15" hidden="1">"#"</definedName>
    <definedName name="FDC_158_2" hidden="1">"#"</definedName>
    <definedName name="FDC_158_3" hidden="1">"#"</definedName>
    <definedName name="FDC_158_4" hidden="1">"#"</definedName>
    <definedName name="FDC_158_5" hidden="1">"#"</definedName>
    <definedName name="FDC_158_6" hidden="1">"#"</definedName>
    <definedName name="FDC_158_7" hidden="1">"#"</definedName>
    <definedName name="FDC_158_8" hidden="1">"#"</definedName>
    <definedName name="FDC_158_9" hidden="1">"#"</definedName>
    <definedName name="FDC_159_0" hidden="1">"#"</definedName>
    <definedName name="FDC_159_1" hidden="1">"#"</definedName>
    <definedName name="FDC_159_10" hidden="1">"#"</definedName>
    <definedName name="FDC_159_11" hidden="1">"#"</definedName>
    <definedName name="FDC_159_12" hidden="1">"#"</definedName>
    <definedName name="FDC_159_13" hidden="1">"#"</definedName>
    <definedName name="FDC_159_14" hidden="1">"#"</definedName>
    <definedName name="FDC_159_15" hidden="1">"#"</definedName>
    <definedName name="FDC_159_2" hidden="1">"#"</definedName>
    <definedName name="FDC_159_3" hidden="1">"#"</definedName>
    <definedName name="FDC_159_4" hidden="1">"#"</definedName>
    <definedName name="FDC_159_5" hidden="1">"#"</definedName>
    <definedName name="FDC_159_6" hidden="1">"#"</definedName>
    <definedName name="FDC_159_7" hidden="1">"#"</definedName>
    <definedName name="FDC_159_8" hidden="1">"#"</definedName>
    <definedName name="FDC_159_9" hidden="1">"#"</definedName>
    <definedName name="FDC_16_0" hidden="1">"#"</definedName>
    <definedName name="FDC_160_0" hidden="1">"#"</definedName>
    <definedName name="FDC_160_1" hidden="1">"#"</definedName>
    <definedName name="FDC_160_10" hidden="1">"#"</definedName>
    <definedName name="FDC_160_11" hidden="1">"#"</definedName>
    <definedName name="FDC_160_12" hidden="1">"#"</definedName>
    <definedName name="FDC_160_13" hidden="1">"#"</definedName>
    <definedName name="FDC_160_14" hidden="1">"#"</definedName>
    <definedName name="FDC_160_15" hidden="1">"#"</definedName>
    <definedName name="FDC_160_2" hidden="1">"#"</definedName>
    <definedName name="FDC_160_3" hidden="1">"#"</definedName>
    <definedName name="FDC_160_4" hidden="1">"#"</definedName>
    <definedName name="FDC_160_5" hidden="1">"#"</definedName>
    <definedName name="FDC_160_6" hidden="1">"#"</definedName>
    <definedName name="FDC_160_7" hidden="1">"#"</definedName>
    <definedName name="FDC_160_8" hidden="1">"#"</definedName>
    <definedName name="FDC_160_9" hidden="1">"#"</definedName>
    <definedName name="FDC_161_0" hidden="1">"#"</definedName>
    <definedName name="FDC_161_1" hidden="1">"#"</definedName>
    <definedName name="FDC_161_10" hidden="1">"#"</definedName>
    <definedName name="FDC_161_11" hidden="1">"#"</definedName>
    <definedName name="FDC_161_12" hidden="1">"#"</definedName>
    <definedName name="FDC_161_13" hidden="1">"#"</definedName>
    <definedName name="FDC_161_14" hidden="1">"#"</definedName>
    <definedName name="FDC_161_2" hidden="1">"#"</definedName>
    <definedName name="FDC_161_3" hidden="1">"#"</definedName>
    <definedName name="FDC_161_4" hidden="1">"#"</definedName>
    <definedName name="FDC_161_5" hidden="1">"#"</definedName>
    <definedName name="FDC_161_6" hidden="1">"#"</definedName>
    <definedName name="FDC_161_7" hidden="1">"#"</definedName>
    <definedName name="FDC_161_8" hidden="1">"#"</definedName>
    <definedName name="FDC_161_9" hidden="1">"#"</definedName>
    <definedName name="FDC_162_0" hidden="1">"#"</definedName>
    <definedName name="FDC_162_1" hidden="1">"#"</definedName>
    <definedName name="FDC_162_10" hidden="1">"#"</definedName>
    <definedName name="FDC_162_11" hidden="1">"#"</definedName>
    <definedName name="FDC_162_12" hidden="1">"#"</definedName>
    <definedName name="FDC_162_13" hidden="1">"#"</definedName>
    <definedName name="FDC_162_14" hidden="1">"#"</definedName>
    <definedName name="FDC_162_15" hidden="1">"#"</definedName>
    <definedName name="FDC_162_2" hidden="1">"#"</definedName>
    <definedName name="FDC_162_3" hidden="1">"#"</definedName>
    <definedName name="FDC_162_4" hidden="1">"#"</definedName>
    <definedName name="FDC_162_5" hidden="1">"#"</definedName>
    <definedName name="FDC_162_6" hidden="1">"#"</definedName>
    <definedName name="FDC_162_7" hidden="1">"#"</definedName>
    <definedName name="FDC_162_8" hidden="1">"#"</definedName>
    <definedName name="FDC_162_9" hidden="1">"#"</definedName>
    <definedName name="FDC_163_0" hidden="1">"#"</definedName>
    <definedName name="FDC_163_1" hidden="1">"#"</definedName>
    <definedName name="FDC_163_10" hidden="1">"#"</definedName>
    <definedName name="FDC_163_11" hidden="1">"#"</definedName>
    <definedName name="FDC_163_12" hidden="1">"#"</definedName>
    <definedName name="FDC_163_13" hidden="1">"#"</definedName>
    <definedName name="FDC_163_14" hidden="1">"#"</definedName>
    <definedName name="FDC_163_15" hidden="1">"#"</definedName>
    <definedName name="FDC_163_2" hidden="1">"#"</definedName>
    <definedName name="FDC_163_3" hidden="1">"#"</definedName>
    <definedName name="FDC_163_4" hidden="1">"#"</definedName>
    <definedName name="FDC_163_5" hidden="1">"#"</definedName>
    <definedName name="FDC_163_6" hidden="1">"#"</definedName>
    <definedName name="FDC_163_7" hidden="1">"#"</definedName>
    <definedName name="FDC_163_8" hidden="1">"#"</definedName>
    <definedName name="FDC_163_9" hidden="1">"#"</definedName>
    <definedName name="FDC_164_0" hidden="1">"#"</definedName>
    <definedName name="FDC_164_1" hidden="1">"#"</definedName>
    <definedName name="FDC_164_10" hidden="1">"#"</definedName>
    <definedName name="FDC_164_11" hidden="1">"#"</definedName>
    <definedName name="FDC_164_12" hidden="1">"#"</definedName>
    <definedName name="FDC_164_13" hidden="1">"#"</definedName>
    <definedName name="FDC_164_14" hidden="1">"#"</definedName>
    <definedName name="FDC_164_15" hidden="1">"#"</definedName>
    <definedName name="FDC_164_2" hidden="1">"#"</definedName>
    <definedName name="FDC_164_3" hidden="1">"#"</definedName>
    <definedName name="FDC_164_4" hidden="1">"#"</definedName>
    <definedName name="FDC_164_5" hidden="1">"#"</definedName>
    <definedName name="FDC_164_6" hidden="1">"#"</definedName>
    <definedName name="FDC_164_7" hidden="1">"#"</definedName>
    <definedName name="FDC_164_8" hidden="1">"#"</definedName>
    <definedName name="FDC_164_9" hidden="1">"#"</definedName>
    <definedName name="FDC_165_0" hidden="1">"#"</definedName>
    <definedName name="FDC_165_1" hidden="1">"#"</definedName>
    <definedName name="FDC_165_10" hidden="1">"#"</definedName>
    <definedName name="FDC_165_11" hidden="1">"#"</definedName>
    <definedName name="FDC_165_12" hidden="1">"#"</definedName>
    <definedName name="FDC_165_13" hidden="1">"#"</definedName>
    <definedName name="FDC_165_14" hidden="1">"#"</definedName>
    <definedName name="FDC_165_2" hidden="1">"#"</definedName>
    <definedName name="FDC_165_3" hidden="1">"#"</definedName>
    <definedName name="FDC_165_4" hidden="1">"#"</definedName>
    <definedName name="FDC_165_5" hidden="1">"#"</definedName>
    <definedName name="FDC_165_6" hidden="1">"#"</definedName>
    <definedName name="FDC_165_7" hidden="1">"#"</definedName>
    <definedName name="FDC_165_8" hidden="1">"#"</definedName>
    <definedName name="FDC_165_9" hidden="1">"#"</definedName>
    <definedName name="FDC_166_0" hidden="1">"#"</definedName>
    <definedName name="FDC_166_1" hidden="1">"#"</definedName>
    <definedName name="FDC_166_10" hidden="1">"#"</definedName>
    <definedName name="FDC_166_11" hidden="1">"#"</definedName>
    <definedName name="FDC_166_12" hidden="1">"#"</definedName>
    <definedName name="FDC_166_13" hidden="1">"#"</definedName>
    <definedName name="FDC_166_14" hidden="1">"#"</definedName>
    <definedName name="FDC_166_15" hidden="1">"#"</definedName>
    <definedName name="FDC_166_2" hidden="1">"#"</definedName>
    <definedName name="FDC_166_3" hidden="1">"#"</definedName>
    <definedName name="FDC_166_4" hidden="1">"#"</definedName>
    <definedName name="FDC_166_5" hidden="1">"#"</definedName>
    <definedName name="FDC_166_6" hidden="1">"#"</definedName>
    <definedName name="FDC_166_7" hidden="1">"#"</definedName>
    <definedName name="FDC_166_8" hidden="1">"#"</definedName>
    <definedName name="FDC_166_9" hidden="1">"#"</definedName>
    <definedName name="FDC_167_0" hidden="1">"#"</definedName>
    <definedName name="FDC_167_1" hidden="1">"#"</definedName>
    <definedName name="FDC_167_10" hidden="1">"#"</definedName>
    <definedName name="FDC_167_11" hidden="1">"#"</definedName>
    <definedName name="FDC_167_12" hidden="1">"#"</definedName>
    <definedName name="FDC_167_13" hidden="1">"#"</definedName>
    <definedName name="FDC_167_14" hidden="1">"#"</definedName>
    <definedName name="FDC_167_2" hidden="1">"#"</definedName>
    <definedName name="FDC_167_3" hidden="1">"#"</definedName>
    <definedName name="FDC_167_4" hidden="1">"#"</definedName>
    <definedName name="FDC_167_5" hidden="1">"#"</definedName>
    <definedName name="FDC_167_6" hidden="1">"#"</definedName>
    <definedName name="FDC_167_7" hidden="1">"#"</definedName>
    <definedName name="FDC_167_8" hidden="1">"#"</definedName>
    <definedName name="FDC_167_9" hidden="1">"#"</definedName>
    <definedName name="FDC_168_0" hidden="1">"#"</definedName>
    <definedName name="FDC_168_1" hidden="1">"#"</definedName>
    <definedName name="FDC_168_2" hidden="1">"#"</definedName>
    <definedName name="FDC_169_0" hidden="1">"#"</definedName>
    <definedName name="FDC_169_1" hidden="1">"#"</definedName>
    <definedName name="FDC_169_10" hidden="1">"#"</definedName>
    <definedName name="FDC_169_11" hidden="1">"#"</definedName>
    <definedName name="FDC_169_12" hidden="1">"#"</definedName>
    <definedName name="FDC_169_13" hidden="1">"#"</definedName>
    <definedName name="FDC_169_14" hidden="1">"#"</definedName>
    <definedName name="FDC_169_15" hidden="1">"#"</definedName>
    <definedName name="FDC_169_2" hidden="1">"#"</definedName>
    <definedName name="FDC_169_3" hidden="1">"#"</definedName>
    <definedName name="FDC_169_4" hidden="1">"#"</definedName>
    <definedName name="FDC_169_5" hidden="1">"#"</definedName>
    <definedName name="FDC_169_6" hidden="1">"#"</definedName>
    <definedName name="FDC_169_7" hidden="1">"#"</definedName>
    <definedName name="FDC_169_8" hidden="1">"#"</definedName>
    <definedName name="FDC_169_9" hidden="1">"#"</definedName>
    <definedName name="FDC_17_0" hidden="1">"#"</definedName>
    <definedName name="FDC_170_0" hidden="1">"#"</definedName>
    <definedName name="FDC_170_1" hidden="1">"#"</definedName>
    <definedName name="FDC_170_10" hidden="1">"#"</definedName>
    <definedName name="FDC_170_11" hidden="1">"#"</definedName>
    <definedName name="FDC_170_12" hidden="1">"#"</definedName>
    <definedName name="FDC_170_13" hidden="1">"#"</definedName>
    <definedName name="FDC_170_14" hidden="1">"#"</definedName>
    <definedName name="FDC_170_2" hidden="1">"#"</definedName>
    <definedName name="FDC_170_3" hidden="1">"#"</definedName>
    <definedName name="FDC_170_4" hidden="1">"#"</definedName>
    <definedName name="FDC_170_5" hidden="1">"#"</definedName>
    <definedName name="FDC_170_6" hidden="1">"#"</definedName>
    <definedName name="FDC_170_7" hidden="1">"#"</definedName>
    <definedName name="FDC_170_8" hidden="1">"#"</definedName>
    <definedName name="FDC_170_9" hidden="1">"#"</definedName>
    <definedName name="FDC_171_0" hidden="1">"#"</definedName>
    <definedName name="FDC_171_1" hidden="1">"#"</definedName>
    <definedName name="FDC_171_10" hidden="1">"#"</definedName>
    <definedName name="FDC_171_11" hidden="1">"#"</definedName>
    <definedName name="FDC_171_12" hidden="1">"#"</definedName>
    <definedName name="FDC_171_13" hidden="1">"#"</definedName>
    <definedName name="FDC_171_14" hidden="1">"#"</definedName>
    <definedName name="FDC_171_2" hidden="1">"#"</definedName>
    <definedName name="FDC_171_3" hidden="1">"#"</definedName>
    <definedName name="FDC_171_4" hidden="1">"#"</definedName>
    <definedName name="FDC_171_5" hidden="1">"#"</definedName>
    <definedName name="FDC_171_6" hidden="1">"#"</definedName>
    <definedName name="FDC_171_7" hidden="1">"#"</definedName>
    <definedName name="FDC_171_8" hidden="1">"#"</definedName>
    <definedName name="FDC_171_9" hidden="1">"#"</definedName>
    <definedName name="FDC_172_0" hidden="1">"#"</definedName>
    <definedName name="FDC_172_1" hidden="1">"#"</definedName>
    <definedName name="FDC_172_10" hidden="1">"#"</definedName>
    <definedName name="FDC_172_11" hidden="1">"#"</definedName>
    <definedName name="FDC_172_12" hidden="1">"#"</definedName>
    <definedName name="FDC_172_13" hidden="1">"#"</definedName>
    <definedName name="FDC_172_14" hidden="1">"#"</definedName>
    <definedName name="FDC_172_2" hidden="1">"#"</definedName>
    <definedName name="FDC_172_3" hidden="1">"#"</definedName>
    <definedName name="FDC_172_4" hidden="1">"#"</definedName>
    <definedName name="FDC_172_5" hidden="1">"#"</definedName>
    <definedName name="FDC_172_6" hidden="1">"#"</definedName>
    <definedName name="FDC_172_7" hidden="1">"#"</definedName>
    <definedName name="FDC_172_8" hidden="1">"#"</definedName>
    <definedName name="FDC_172_9" hidden="1">"#"</definedName>
    <definedName name="FDC_173_0" hidden="1">"#"</definedName>
    <definedName name="FDC_173_1" hidden="1">"#"</definedName>
    <definedName name="FDC_173_2" hidden="1">"#"</definedName>
    <definedName name="FDC_174_0" hidden="1">"#"</definedName>
    <definedName name="FDC_174_1" hidden="1">"#"</definedName>
    <definedName name="FDC_174_2" hidden="1">"#"</definedName>
    <definedName name="FDC_175_0" hidden="1">"#"</definedName>
    <definedName name="FDC_175_1" hidden="1">"#"</definedName>
    <definedName name="FDC_175_2" hidden="1">"#"</definedName>
    <definedName name="FDC_176_0" hidden="1">"#"</definedName>
    <definedName name="FDC_176_1" hidden="1">"#"</definedName>
    <definedName name="FDC_176_2" hidden="1">"#"</definedName>
    <definedName name="FDC_177_0" hidden="1">"#"</definedName>
    <definedName name="FDC_177_1" hidden="1">"#"</definedName>
    <definedName name="FDC_177_2" hidden="1">"#"</definedName>
    <definedName name="FDC_178_0" hidden="1">"#"</definedName>
    <definedName name="FDC_178_1" hidden="1">"#"</definedName>
    <definedName name="FDC_178_2" hidden="1">"#"</definedName>
    <definedName name="FDC_179_0" hidden="1">"#"</definedName>
    <definedName name="FDC_179_1" hidden="1">"#"</definedName>
    <definedName name="FDC_179_2" hidden="1">"#"</definedName>
    <definedName name="FDC_18_0" hidden="1">"#"</definedName>
    <definedName name="FDC_180_0" hidden="1">"#"</definedName>
    <definedName name="FDC_180_1" hidden="1">"#"</definedName>
    <definedName name="FDC_180_2" hidden="1">"#"</definedName>
    <definedName name="FDC_181_0" hidden="1">"#"</definedName>
    <definedName name="FDC_181_1" hidden="1">"#"</definedName>
    <definedName name="FDC_181_2" hidden="1">"#"</definedName>
    <definedName name="FDC_182_0" hidden="1">"#"</definedName>
    <definedName name="FDC_182_1" hidden="1">"#"</definedName>
    <definedName name="FDC_182_2" hidden="1">"#"</definedName>
    <definedName name="FDC_183_0" hidden="1">"#"</definedName>
    <definedName name="FDC_183_1" hidden="1">"#"</definedName>
    <definedName name="FDC_183_2" hidden="1">"#"</definedName>
    <definedName name="FDC_184_0" hidden="1">"#"</definedName>
    <definedName name="FDC_184_1" hidden="1">"#"</definedName>
    <definedName name="FDC_184_2" hidden="1">"#"</definedName>
    <definedName name="FDC_185_0" hidden="1">"#"</definedName>
    <definedName name="FDC_185_1" hidden="1">"#"</definedName>
    <definedName name="FDC_185_2" hidden="1">"#"</definedName>
    <definedName name="FDC_186_0" hidden="1">"#"</definedName>
    <definedName name="FDC_186_1" hidden="1">"#"</definedName>
    <definedName name="FDC_186_2" hidden="1">"#"</definedName>
    <definedName name="FDC_187_0" hidden="1">"#"</definedName>
    <definedName name="FDC_187_1" hidden="1">"#"</definedName>
    <definedName name="FDC_187_2" hidden="1">"#"</definedName>
    <definedName name="FDC_188_0" hidden="1">"#"</definedName>
    <definedName name="FDC_188_1" hidden="1">"#"</definedName>
    <definedName name="FDC_188_2" hidden="1">"#"</definedName>
    <definedName name="FDC_189_0" hidden="1">"#"</definedName>
    <definedName name="FDC_189_1" hidden="1">"#"</definedName>
    <definedName name="FDC_189_2" hidden="1">"#"</definedName>
    <definedName name="FDC_19_0" hidden="1">"#"</definedName>
    <definedName name="FDC_190_0" hidden="1">"#"</definedName>
    <definedName name="FDC_190_1" hidden="1">"#"</definedName>
    <definedName name="FDC_190_2" hidden="1">"#"</definedName>
    <definedName name="FDC_191_0" hidden="1">"#"</definedName>
    <definedName name="FDC_191_1" hidden="1">"#"</definedName>
    <definedName name="FDC_191_2" hidden="1">"#"</definedName>
    <definedName name="FDC_192_0" hidden="1">"#"</definedName>
    <definedName name="FDC_192_1" hidden="1">"#"</definedName>
    <definedName name="FDC_192_2" hidden="1">"#"</definedName>
    <definedName name="FDC_193_0" hidden="1">"#"</definedName>
    <definedName name="FDC_193_1" hidden="1">"#"</definedName>
    <definedName name="FDC_193_2" hidden="1">"#"</definedName>
    <definedName name="FDC_194_0" hidden="1">"#"</definedName>
    <definedName name="FDC_194_1" hidden="1">"#"</definedName>
    <definedName name="FDC_194_2" hidden="1">"#"</definedName>
    <definedName name="FDC_195_0" hidden="1">"#"</definedName>
    <definedName name="FDC_195_1" hidden="1">"#"</definedName>
    <definedName name="FDC_195_2" hidden="1">"#"</definedName>
    <definedName name="FDC_196_0" hidden="1">"#"</definedName>
    <definedName name="FDC_196_1" hidden="1">"#"</definedName>
    <definedName name="FDC_196_2" hidden="1">"#"</definedName>
    <definedName name="FDC_197_0" hidden="1">"#"</definedName>
    <definedName name="FDC_197_1" hidden="1">"#"</definedName>
    <definedName name="FDC_197_2" hidden="1">"#"</definedName>
    <definedName name="FDC_198_0" hidden="1">"#"</definedName>
    <definedName name="FDC_198_1" hidden="1">"#"</definedName>
    <definedName name="FDC_198_2" hidden="1">"#"</definedName>
    <definedName name="FDC_199_0" hidden="1">"#"</definedName>
    <definedName name="FDC_199_1" hidden="1">"#"</definedName>
    <definedName name="FDC_199_2" hidden="1">"#"</definedName>
    <definedName name="FDC_2_0" hidden="1">"#"</definedName>
    <definedName name="FDC_20_0" hidden="1">"#"</definedName>
    <definedName name="FDC_200_0" hidden="1">"#"</definedName>
    <definedName name="FDC_200_1" hidden="1">"#"</definedName>
    <definedName name="FDC_200_2" hidden="1">"#"</definedName>
    <definedName name="FDC_201_0" hidden="1">"#"</definedName>
    <definedName name="FDC_201_1" hidden="1">"#"</definedName>
    <definedName name="FDC_201_2" hidden="1">"#"</definedName>
    <definedName name="FDC_202_0" hidden="1">"#"</definedName>
    <definedName name="FDC_202_1" hidden="1">"#"</definedName>
    <definedName name="FDC_202_2" hidden="1">"#"</definedName>
    <definedName name="FDC_203_0" hidden="1">"#"</definedName>
    <definedName name="FDC_203_1" hidden="1">"#"</definedName>
    <definedName name="FDC_203_2" hidden="1">"#"</definedName>
    <definedName name="FDC_204_0" hidden="1">"#"</definedName>
    <definedName name="FDC_204_1" hidden="1">"#"</definedName>
    <definedName name="FDC_204_2" hidden="1">"#"</definedName>
    <definedName name="FDC_205_0" hidden="1">"#"</definedName>
    <definedName name="FDC_205_1" hidden="1">"#"</definedName>
    <definedName name="FDC_205_2" hidden="1">"#"</definedName>
    <definedName name="FDC_206_0" hidden="1">"#"</definedName>
    <definedName name="FDC_206_1" hidden="1">"#"</definedName>
    <definedName name="FDC_206_2" hidden="1">"#"</definedName>
    <definedName name="FDC_207_0" hidden="1">"#"</definedName>
    <definedName name="FDC_207_1" hidden="1">"#"</definedName>
    <definedName name="FDC_207_2" hidden="1">"#"</definedName>
    <definedName name="FDC_208_0" hidden="1">"#"</definedName>
    <definedName name="FDC_208_1" hidden="1">"#"</definedName>
    <definedName name="FDC_208_2" hidden="1">"#"</definedName>
    <definedName name="FDC_209_0" hidden="1">"#"</definedName>
    <definedName name="FDC_209_1" hidden="1">"#"</definedName>
    <definedName name="FDC_209_2" hidden="1">"#"</definedName>
    <definedName name="FDC_21_0" hidden="1">"#"</definedName>
    <definedName name="FDC_210_0" hidden="1">"#"</definedName>
    <definedName name="FDC_210_1" hidden="1">"#"</definedName>
    <definedName name="FDC_211_0" hidden="1">"#"</definedName>
    <definedName name="FDC_211_1" hidden="1">"#"</definedName>
    <definedName name="FDC_211_2" hidden="1">"#"</definedName>
    <definedName name="FDC_212_0" hidden="1">"#"</definedName>
    <definedName name="FDC_212_1" hidden="1">"#"</definedName>
    <definedName name="FDC_212_2" hidden="1">"#"</definedName>
    <definedName name="FDC_213_0" hidden="1">"#"</definedName>
    <definedName name="FDC_213_1" hidden="1">"#"</definedName>
    <definedName name="FDC_213_2" hidden="1">"#"</definedName>
    <definedName name="FDC_214_0" hidden="1">"#"</definedName>
    <definedName name="FDC_214_1" hidden="1">"#"</definedName>
    <definedName name="FDC_214_2" hidden="1">"#"</definedName>
    <definedName name="FDC_215_0" hidden="1">"#"</definedName>
    <definedName name="FDC_216_0" hidden="1">"#"</definedName>
    <definedName name="FDC_217_0" hidden="1">"#"</definedName>
    <definedName name="FDC_218_0" hidden="1">"#"</definedName>
    <definedName name="FDC_218_1" hidden="1">"#"</definedName>
    <definedName name="FDC_218_2" hidden="1">"#"</definedName>
    <definedName name="FDC_219_0" hidden="1">"#"</definedName>
    <definedName name="FDC_219_1" hidden="1">"#"</definedName>
    <definedName name="FDC_219_2" hidden="1">"#"</definedName>
    <definedName name="FDC_22_0" hidden="1">"#"</definedName>
    <definedName name="FDC_220_0" hidden="1">"#"</definedName>
    <definedName name="FDC_221_0" hidden="1">"#"</definedName>
    <definedName name="FDC_222_0" hidden="1">"#"</definedName>
    <definedName name="FDC_223_0" hidden="1">"#"</definedName>
    <definedName name="FDC_223_1" hidden="1">"#"</definedName>
    <definedName name="FDC_223_2" hidden="1">"#"</definedName>
    <definedName name="FDC_224_0" hidden="1">"#"</definedName>
    <definedName name="FDC_224_1" hidden="1">"#"</definedName>
    <definedName name="FDC_224_2" hidden="1">"#"</definedName>
    <definedName name="FDC_225_0" hidden="1">"#"</definedName>
    <definedName name="FDC_226_0" hidden="1">"#"</definedName>
    <definedName name="FDC_227_0" hidden="1">"#"</definedName>
    <definedName name="FDC_228_0" hidden="1">"#"</definedName>
    <definedName name="FDC_228_1" hidden="1">"#"</definedName>
    <definedName name="FDC_228_2" hidden="1">"#"</definedName>
    <definedName name="FDC_229_0" hidden="1">"#"</definedName>
    <definedName name="FDC_229_1" hidden="1">"#"</definedName>
    <definedName name="FDC_229_2" hidden="1">"#"</definedName>
    <definedName name="FDC_23_0" hidden="1">"#"</definedName>
    <definedName name="FDC_230_0" hidden="1">"#"</definedName>
    <definedName name="FDC_231_0" hidden="1">"#"</definedName>
    <definedName name="FDC_232_0" hidden="1">"#"</definedName>
    <definedName name="FDC_233_0" hidden="1">"#"</definedName>
    <definedName name="FDC_233_1" hidden="1">"#"</definedName>
    <definedName name="FDC_233_2" hidden="1">"#"</definedName>
    <definedName name="FDC_234_0" hidden="1">"#"</definedName>
    <definedName name="FDC_234_1" hidden="1">"#"</definedName>
    <definedName name="FDC_234_2" hidden="1">"#"</definedName>
    <definedName name="FDC_235_0" hidden="1">"#"</definedName>
    <definedName name="FDC_236_0" hidden="1">"#"</definedName>
    <definedName name="FDC_237_0" hidden="1">"#"</definedName>
    <definedName name="FDC_238_0" hidden="1">"#"</definedName>
    <definedName name="FDC_238_1" hidden="1">"#"</definedName>
    <definedName name="FDC_238_10" hidden="1">"#"</definedName>
    <definedName name="FDC_238_11" hidden="1">"#"</definedName>
    <definedName name="FDC_238_12" hidden="1">"#"</definedName>
    <definedName name="FDC_238_13" hidden="1">"#"</definedName>
    <definedName name="FDC_238_14" hidden="1">"#"</definedName>
    <definedName name="FDC_238_2" hidden="1">"#"</definedName>
    <definedName name="FDC_238_3" hidden="1">"#"</definedName>
    <definedName name="FDC_238_4" hidden="1">"#"</definedName>
    <definedName name="FDC_238_5" hidden="1">"#"</definedName>
    <definedName name="FDC_238_6" hidden="1">"#"</definedName>
    <definedName name="FDC_238_7" hidden="1">"#"</definedName>
    <definedName name="FDC_238_8" hidden="1">"#"</definedName>
    <definedName name="FDC_238_9" hidden="1">"#"</definedName>
    <definedName name="FDC_239_0" hidden="1">"#"</definedName>
    <definedName name="FDC_239_1" hidden="1">"#"</definedName>
    <definedName name="FDC_239_10" hidden="1">"#"</definedName>
    <definedName name="FDC_239_11" hidden="1">"#"</definedName>
    <definedName name="FDC_239_12" hidden="1">"#"</definedName>
    <definedName name="FDC_239_13" hidden="1">"#"</definedName>
    <definedName name="FDC_239_14" hidden="1">"#"</definedName>
    <definedName name="FDC_239_2" hidden="1">"#"</definedName>
    <definedName name="FDC_239_3" hidden="1">"#"</definedName>
    <definedName name="FDC_239_4" hidden="1">"#"</definedName>
    <definedName name="FDC_239_5" hidden="1">"#"</definedName>
    <definedName name="FDC_239_6" hidden="1">"#"</definedName>
    <definedName name="FDC_239_7" hidden="1">"#"</definedName>
    <definedName name="FDC_239_8" hidden="1">"#"</definedName>
    <definedName name="FDC_239_9" hidden="1">"#"</definedName>
    <definedName name="FDC_24_0" hidden="1">"#"</definedName>
    <definedName name="FDC_240_0" hidden="1">"#"</definedName>
    <definedName name="FDC_241_0" hidden="1">"#"</definedName>
    <definedName name="FDC_242_0" hidden="1">"#"</definedName>
    <definedName name="FDC_243_0" hidden="1">"#"</definedName>
    <definedName name="FDC_243_1" hidden="1">"#"</definedName>
    <definedName name="FDC_243_10" hidden="1">"#"</definedName>
    <definedName name="FDC_243_11" hidden="1">"#"</definedName>
    <definedName name="FDC_243_12" hidden="1">"#"</definedName>
    <definedName name="FDC_243_13" hidden="1">"#"</definedName>
    <definedName name="FDC_243_14" hidden="1">"#"</definedName>
    <definedName name="FDC_243_2" hidden="1">"#"</definedName>
    <definedName name="FDC_243_3" hidden="1">"#"</definedName>
    <definedName name="FDC_243_4" hidden="1">"#"</definedName>
    <definedName name="FDC_243_5" hidden="1">"#"</definedName>
    <definedName name="FDC_243_6" hidden="1">"#"</definedName>
    <definedName name="FDC_243_7" hidden="1">"#"</definedName>
    <definedName name="FDC_243_8" hidden="1">"#"</definedName>
    <definedName name="FDC_243_9" hidden="1">"#"</definedName>
    <definedName name="FDC_244_0" hidden="1">"#"</definedName>
    <definedName name="FDC_244_1" hidden="1">"#"</definedName>
    <definedName name="FDC_244_2" hidden="1">"#"</definedName>
    <definedName name="FDC_245_0" hidden="1">"#"</definedName>
    <definedName name="FDC_246_0" hidden="1">"#"</definedName>
    <definedName name="FDC_247_0" hidden="1">"#"</definedName>
    <definedName name="FDC_248_0" hidden="1">"#"</definedName>
    <definedName name="FDC_248_1" hidden="1">"#"</definedName>
    <definedName name="FDC_248_2" hidden="1">"#"</definedName>
    <definedName name="FDC_249_0" hidden="1">"#"</definedName>
    <definedName name="FDC_249_1" hidden="1">"#"</definedName>
    <definedName name="FDC_249_10" hidden="1">"#"</definedName>
    <definedName name="FDC_249_11" hidden="1">"#"</definedName>
    <definedName name="FDC_249_12" hidden="1">"#"</definedName>
    <definedName name="FDC_249_13" hidden="1">"#"</definedName>
    <definedName name="FDC_249_14" hidden="1">"#"</definedName>
    <definedName name="FDC_249_2" hidden="1">"#"</definedName>
    <definedName name="FDC_249_3" hidden="1">"#"</definedName>
    <definedName name="FDC_249_4" hidden="1">"#"</definedName>
    <definedName name="FDC_249_5" hidden="1">"#"</definedName>
    <definedName name="FDC_249_6" hidden="1">"#"</definedName>
    <definedName name="FDC_249_7" hidden="1">"#"</definedName>
    <definedName name="FDC_249_8" hidden="1">"#"</definedName>
    <definedName name="FDC_249_9" hidden="1">"#"</definedName>
    <definedName name="FDC_25_0" hidden="1">"#"</definedName>
    <definedName name="FDC_250_0" hidden="1">"#"</definedName>
    <definedName name="FDC_251_0" hidden="1">"#"</definedName>
    <definedName name="FDC_252_0" hidden="1">"#"</definedName>
    <definedName name="FDC_253_0" hidden="1">"#"</definedName>
    <definedName name="FDC_253_1" hidden="1">"#"</definedName>
    <definedName name="FDC_253_2" hidden="1">"#"</definedName>
    <definedName name="FDC_254_0" hidden="1">"#"</definedName>
    <definedName name="FDC_254_1" hidden="1">"#"</definedName>
    <definedName name="FDC_254_2" hidden="1">"#"</definedName>
    <definedName name="FDC_255_0" hidden="1">"#"</definedName>
    <definedName name="FDC_255_1" hidden="1">"#"</definedName>
    <definedName name="FDC_255_2" hidden="1">"#"</definedName>
    <definedName name="FDC_256_0" hidden="1">"#"</definedName>
    <definedName name="FDC_256_1" hidden="1">"#"</definedName>
    <definedName name="FDC_256_2" hidden="1">"#"</definedName>
    <definedName name="FDC_257_0" hidden="1">"#"</definedName>
    <definedName name="FDC_257_1" hidden="1">"#"</definedName>
    <definedName name="FDC_257_2" hidden="1">"#"</definedName>
    <definedName name="FDC_258_0" hidden="1">"#"</definedName>
    <definedName name="FDC_258_1" hidden="1">"#"</definedName>
    <definedName name="FDC_258_2" hidden="1">"#"</definedName>
    <definedName name="FDC_259_0" hidden="1">"#"</definedName>
    <definedName name="FDC_259_1" hidden="1">"#"</definedName>
    <definedName name="FDC_259_2" hidden="1">"#"</definedName>
    <definedName name="FDC_26_0" hidden="1">"#"</definedName>
    <definedName name="FDC_260_0" hidden="1">"#"</definedName>
    <definedName name="FDC_260_1" hidden="1">"#"</definedName>
    <definedName name="FDC_260_2" hidden="1">"#"</definedName>
    <definedName name="FDC_261_0" hidden="1">"#"</definedName>
    <definedName name="FDC_261_1" hidden="1">"#"</definedName>
    <definedName name="FDC_261_2" hidden="1">"#"</definedName>
    <definedName name="FDC_262_0" hidden="1">"#"</definedName>
    <definedName name="FDC_262_1" hidden="1">"#"</definedName>
    <definedName name="FDC_262_2" hidden="1">"#"</definedName>
    <definedName name="FDC_263_0" hidden="1">"#"</definedName>
    <definedName name="FDC_263_1" hidden="1">"#"</definedName>
    <definedName name="FDC_263_2" hidden="1">"#"</definedName>
    <definedName name="FDC_264_0" hidden="1">"#"</definedName>
    <definedName name="FDC_264_1" hidden="1">"#"</definedName>
    <definedName name="FDC_264_2" hidden="1">"#"</definedName>
    <definedName name="FDC_265_0" hidden="1">"#"</definedName>
    <definedName name="FDC_265_1" hidden="1">"#"</definedName>
    <definedName name="FDC_265_2" hidden="1">"#"</definedName>
    <definedName name="FDC_266_0" hidden="1">"#"</definedName>
    <definedName name="FDC_266_1" hidden="1">"#"</definedName>
    <definedName name="FDC_266_2" hidden="1">"#"</definedName>
    <definedName name="FDC_267_0" hidden="1">"#"</definedName>
    <definedName name="FDC_267_1" hidden="1">"#"</definedName>
    <definedName name="FDC_267_2" hidden="1">"#"</definedName>
    <definedName name="FDC_268_0" hidden="1">"#"</definedName>
    <definedName name="FDC_268_1" hidden="1">"#"</definedName>
    <definedName name="FDC_268_2" hidden="1">"#"</definedName>
    <definedName name="FDC_269_0" hidden="1">"#"</definedName>
    <definedName name="FDC_269_1" hidden="1">"#"</definedName>
    <definedName name="FDC_269_2" hidden="1">"#"</definedName>
    <definedName name="FDC_27_0" hidden="1">"#"</definedName>
    <definedName name="FDC_270_0" hidden="1">"#"</definedName>
    <definedName name="FDC_270_1" hidden="1">"#"</definedName>
    <definedName name="FDC_270_2" hidden="1">"#"</definedName>
    <definedName name="FDC_271_0" hidden="1">"#"</definedName>
    <definedName name="FDC_271_1" hidden="1">"#"</definedName>
    <definedName name="FDC_271_2" hidden="1">"#"</definedName>
    <definedName name="FDC_272_0" hidden="1">"#"</definedName>
    <definedName name="FDC_272_1" hidden="1">"#"</definedName>
    <definedName name="FDC_272_2" hidden="1">"#"</definedName>
    <definedName name="FDC_273_0" hidden="1">"#"</definedName>
    <definedName name="FDC_273_1" hidden="1">"#"</definedName>
    <definedName name="FDC_273_10" hidden="1">"#"</definedName>
    <definedName name="FDC_273_11" hidden="1">"#"</definedName>
    <definedName name="FDC_273_12" hidden="1">"#"</definedName>
    <definedName name="FDC_273_13" hidden="1">"#"</definedName>
    <definedName name="FDC_273_14" hidden="1">"#"</definedName>
    <definedName name="FDC_273_2" hidden="1">"#"</definedName>
    <definedName name="FDC_273_3" hidden="1">"#"</definedName>
    <definedName name="FDC_273_4" hidden="1">"#"</definedName>
    <definedName name="FDC_273_5" hidden="1">"#"</definedName>
    <definedName name="FDC_273_6" hidden="1">"#"</definedName>
    <definedName name="FDC_273_7" hidden="1">"#"</definedName>
    <definedName name="FDC_273_8" hidden="1">"#"</definedName>
    <definedName name="FDC_273_9" hidden="1">"#"</definedName>
    <definedName name="FDC_274_0" hidden="1">"#"</definedName>
    <definedName name="FDC_274_1" hidden="1">"#"</definedName>
    <definedName name="FDC_274_2" hidden="1">"#"</definedName>
    <definedName name="FDC_275_0" hidden="1">"#"</definedName>
    <definedName name="FDC_275_1" hidden="1">"#"</definedName>
    <definedName name="FDC_275_2" hidden="1">"#"</definedName>
    <definedName name="FDC_276_0" hidden="1">"#"</definedName>
    <definedName name="FDC_277_0" hidden="1">"#"</definedName>
    <definedName name="FDC_278_0" hidden="1">"#"</definedName>
    <definedName name="FDC_279_0" hidden="1">"#"</definedName>
    <definedName name="FDC_279_1" hidden="1">"#"</definedName>
    <definedName name="FDC_279_2" hidden="1">"#"</definedName>
    <definedName name="FDC_28_0" hidden="1">"#"</definedName>
    <definedName name="FDC_280_0" hidden="1">"#"</definedName>
    <definedName name="FDC_280_1" hidden="1">"#"</definedName>
    <definedName name="FDC_280_2" hidden="1">"#"</definedName>
    <definedName name="FDC_281_0" hidden="1">"#"</definedName>
    <definedName name="FDC_281_1" hidden="1">"#"</definedName>
    <definedName name="FDC_281_2" hidden="1">"#"</definedName>
    <definedName name="FDC_282_0" hidden="1">"#"</definedName>
    <definedName name="FDC_282_1" hidden="1">"#"</definedName>
    <definedName name="FDC_282_2" hidden="1">"#"</definedName>
    <definedName name="FDC_283_0" hidden="1">"#"</definedName>
    <definedName name="FDC_283_1" hidden="1">"#"</definedName>
    <definedName name="FDC_283_2" hidden="1">"#"</definedName>
    <definedName name="FDC_284_0" hidden="1">"#"</definedName>
    <definedName name="FDC_284_1" hidden="1">"#"</definedName>
    <definedName name="FDC_284_10" hidden="1">"#"</definedName>
    <definedName name="FDC_284_11" hidden="1">"#"</definedName>
    <definedName name="FDC_284_12" hidden="1">"#"</definedName>
    <definedName name="FDC_284_13" hidden="1">"#"</definedName>
    <definedName name="FDC_284_14" hidden="1">"#"</definedName>
    <definedName name="FDC_284_15" hidden="1">"#"</definedName>
    <definedName name="FDC_284_16" hidden="1">"#"</definedName>
    <definedName name="FDC_284_17" hidden="1">"#"</definedName>
    <definedName name="FDC_284_18" hidden="1">"#"</definedName>
    <definedName name="FDC_284_19" hidden="1">"#"</definedName>
    <definedName name="FDC_284_2" hidden="1">"#"</definedName>
    <definedName name="FDC_284_20" hidden="1">"#"</definedName>
    <definedName name="FDC_284_21" hidden="1">"#"</definedName>
    <definedName name="FDC_284_22" hidden="1">"#"</definedName>
    <definedName name="FDC_284_23" hidden="1">"#"</definedName>
    <definedName name="FDC_284_24" hidden="1">"#"</definedName>
    <definedName name="FDC_284_25" hidden="1">"#"</definedName>
    <definedName name="FDC_284_26" hidden="1">"#"</definedName>
    <definedName name="FDC_284_3" hidden="1">"#"</definedName>
    <definedName name="FDC_284_4" hidden="1">"#"</definedName>
    <definedName name="FDC_284_5" hidden="1">"#"</definedName>
    <definedName name="FDC_284_6" hidden="1">"#"</definedName>
    <definedName name="FDC_284_7" hidden="1">"#"</definedName>
    <definedName name="FDC_284_8" hidden="1">"#"</definedName>
    <definedName name="FDC_284_9" hidden="1">"#"</definedName>
    <definedName name="FDC_285_0" hidden="1">"#"</definedName>
    <definedName name="FDC_285_1" hidden="1">"#"</definedName>
    <definedName name="FDC_285_10" hidden="1">"#"</definedName>
    <definedName name="FDC_285_11" hidden="1">"#"</definedName>
    <definedName name="FDC_285_12" hidden="1">"#"</definedName>
    <definedName name="FDC_285_13" hidden="1">"#"</definedName>
    <definedName name="FDC_285_14" hidden="1">"#"</definedName>
    <definedName name="FDC_285_15" hidden="1">"#"</definedName>
    <definedName name="FDC_285_16" hidden="1">"#"</definedName>
    <definedName name="FDC_285_17" hidden="1">"#"</definedName>
    <definedName name="FDC_285_18" hidden="1">"#"</definedName>
    <definedName name="FDC_285_19" hidden="1">"#"</definedName>
    <definedName name="FDC_285_2" hidden="1">"#"</definedName>
    <definedName name="FDC_285_20" hidden="1">"#"</definedName>
    <definedName name="FDC_285_21" hidden="1">"#"</definedName>
    <definedName name="FDC_285_22" hidden="1">"#"</definedName>
    <definedName name="FDC_285_23" hidden="1">"#"</definedName>
    <definedName name="FDC_285_24" hidden="1">"#"</definedName>
    <definedName name="FDC_285_25" hidden="1">"#"</definedName>
    <definedName name="FDC_285_26" hidden="1">"#"</definedName>
    <definedName name="FDC_285_3" hidden="1">"#"</definedName>
    <definedName name="FDC_285_4" hidden="1">"#"</definedName>
    <definedName name="FDC_285_5" hidden="1">"#"</definedName>
    <definedName name="FDC_285_6" hidden="1">"#"</definedName>
    <definedName name="FDC_285_7" hidden="1">"#"</definedName>
    <definedName name="FDC_285_8" hidden="1">"#"</definedName>
    <definedName name="FDC_285_9" hidden="1">"#"</definedName>
    <definedName name="FDC_286_0" hidden="1">"#"</definedName>
    <definedName name="FDC_286_1" hidden="1">"#"</definedName>
    <definedName name="FDC_286_10" hidden="1">"#"</definedName>
    <definedName name="FDC_286_11" hidden="1">"#"</definedName>
    <definedName name="FDC_286_12" hidden="1">"#"</definedName>
    <definedName name="FDC_286_13" hidden="1">"#"</definedName>
    <definedName name="FDC_286_14" hidden="1">"#"</definedName>
    <definedName name="FDC_286_15" hidden="1">"#"</definedName>
    <definedName name="FDC_286_16" hidden="1">"#"</definedName>
    <definedName name="FDC_286_17" hidden="1">"#"</definedName>
    <definedName name="FDC_286_18" hidden="1">"#"</definedName>
    <definedName name="FDC_286_19" hidden="1">"#"</definedName>
    <definedName name="FDC_286_2" hidden="1">"#"</definedName>
    <definedName name="FDC_286_20" hidden="1">"#"</definedName>
    <definedName name="FDC_286_21" hidden="1">"#"</definedName>
    <definedName name="FDC_286_22" hidden="1">"#"</definedName>
    <definedName name="FDC_286_23" hidden="1">"#"</definedName>
    <definedName name="FDC_286_24" hidden="1">"#"</definedName>
    <definedName name="FDC_286_25" hidden="1">"#"</definedName>
    <definedName name="FDC_286_3" hidden="1">"#"</definedName>
    <definedName name="FDC_286_4" hidden="1">"#"</definedName>
    <definedName name="FDC_286_5" hidden="1">"#"</definedName>
    <definedName name="FDC_286_6" hidden="1">"#"</definedName>
    <definedName name="FDC_286_7" hidden="1">"#"</definedName>
    <definedName name="FDC_286_8" hidden="1">"#"</definedName>
    <definedName name="FDC_286_9" hidden="1">"#"</definedName>
    <definedName name="FDC_287_0" hidden="1">"#"</definedName>
    <definedName name="FDC_287_1" hidden="1">"#"</definedName>
    <definedName name="FDC_287_10" hidden="1">"#"</definedName>
    <definedName name="FDC_287_11" hidden="1">"#"</definedName>
    <definedName name="FDC_287_12" hidden="1">"#"</definedName>
    <definedName name="FDC_287_13" hidden="1">"#"</definedName>
    <definedName name="FDC_287_14" hidden="1">"#"</definedName>
    <definedName name="FDC_287_15" hidden="1">"#"</definedName>
    <definedName name="FDC_287_16" hidden="1">"#"</definedName>
    <definedName name="FDC_287_17" hidden="1">"#"</definedName>
    <definedName name="FDC_287_18" hidden="1">"#"</definedName>
    <definedName name="FDC_287_19" hidden="1">"#"</definedName>
    <definedName name="FDC_287_2" hidden="1">"#"</definedName>
    <definedName name="FDC_287_20" hidden="1">"#"</definedName>
    <definedName name="FDC_287_21" hidden="1">"#"</definedName>
    <definedName name="FDC_287_22" hidden="1">"#"</definedName>
    <definedName name="FDC_287_23" hidden="1">"#"</definedName>
    <definedName name="FDC_287_24" hidden="1">"#"</definedName>
    <definedName name="FDC_287_3" hidden="1">"#"</definedName>
    <definedName name="FDC_287_4" hidden="1">"#"</definedName>
    <definedName name="FDC_287_5" hidden="1">"#"</definedName>
    <definedName name="FDC_287_6" hidden="1">"#"</definedName>
    <definedName name="FDC_287_7" hidden="1">"#"</definedName>
    <definedName name="FDC_287_8" hidden="1">"#"</definedName>
    <definedName name="FDC_287_9" hidden="1">"#"</definedName>
    <definedName name="FDC_288_0" hidden="1">"#"</definedName>
    <definedName name="FDC_288_1" hidden="1">"#"</definedName>
    <definedName name="FDC_288_2" hidden="1">"#"</definedName>
    <definedName name="FDC_289_0" hidden="1">"#"</definedName>
    <definedName name="FDC_289_1" hidden="1">"#"</definedName>
    <definedName name="FDC_289_10" hidden="1">"#"</definedName>
    <definedName name="FDC_289_11" hidden="1">"#"</definedName>
    <definedName name="FDC_289_12" hidden="1">"#"</definedName>
    <definedName name="FDC_289_13" hidden="1">"#"</definedName>
    <definedName name="FDC_289_14" hidden="1">"#"</definedName>
    <definedName name="FDC_289_15" hidden="1">"#"</definedName>
    <definedName name="FDC_289_16" hidden="1">"#"</definedName>
    <definedName name="FDC_289_17" hidden="1">"#"</definedName>
    <definedName name="FDC_289_18" hidden="1">"#"</definedName>
    <definedName name="FDC_289_19" hidden="1">"#"</definedName>
    <definedName name="FDC_289_2" hidden="1">"#"</definedName>
    <definedName name="FDC_289_20" hidden="1">"#"</definedName>
    <definedName name="FDC_289_21" hidden="1">"#"</definedName>
    <definedName name="FDC_289_22" hidden="1">"#"</definedName>
    <definedName name="FDC_289_23" hidden="1">"#"</definedName>
    <definedName name="FDC_289_24" hidden="1">"#"</definedName>
    <definedName name="FDC_289_25" hidden="1">"#"</definedName>
    <definedName name="FDC_289_26" hidden="1">"#"</definedName>
    <definedName name="FDC_289_3" hidden="1">"#"</definedName>
    <definedName name="FDC_289_4" hidden="1">"#"</definedName>
    <definedName name="FDC_289_5" hidden="1">"#"</definedName>
    <definedName name="FDC_289_6" hidden="1">"#"</definedName>
    <definedName name="FDC_289_7" hidden="1">"#"</definedName>
    <definedName name="FDC_289_8" hidden="1">"#"</definedName>
    <definedName name="FDC_289_9" hidden="1">"#"</definedName>
    <definedName name="FDC_29_0" hidden="1">"#"</definedName>
    <definedName name="FDC_290_0" hidden="1">"#"</definedName>
    <definedName name="FDC_290_1" hidden="1">"#"</definedName>
    <definedName name="FDC_290_10" hidden="1">"#"</definedName>
    <definedName name="FDC_290_11" hidden="1">"#"</definedName>
    <definedName name="FDC_290_12" hidden="1">"#"</definedName>
    <definedName name="FDC_290_13" hidden="1">"#"</definedName>
    <definedName name="FDC_290_14" hidden="1">"#"</definedName>
    <definedName name="FDC_290_15" hidden="1">"#"</definedName>
    <definedName name="FDC_290_16" hidden="1">"#"</definedName>
    <definedName name="FDC_290_17" hidden="1">"#"</definedName>
    <definedName name="FDC_290_18" hidden="1">"#"</definedName>
    <definedName name="FDC_290_19" hidden="1">"#"</definedName>
    <definedName name="FDC_290_2" hidden="1">"#"</definedName>
    <definedName name="FDC_290_20" hidden="1">"#"</definedName>
    <definedName name="FDC_290_21" hidden="1">"#"</definedName>
    <definedName name="FDC_290_22" hidden="1">"#"</definedName>
    <definedName name="FDC_290_23" hidden="1">"#"</definedName>
    <definedName name="FDC_290_24" hidden="1">"#"</definedName>
    <definedName name="FDC_290_25" hidden="1">"#"</definedName>
    <definedName name="FDC_290_3" hidden="1">"#"</definedName>
    <definedName name="FDC_290_4" hidden="1">"#"</definedName>
    <definedName name="FDC_290_5" hidden="1">"#"</definedName>
    <definedName name="FDC_290_6" hidden="1">"#"</definedName>
    <definedName name="FDC_290_7" hidden="1">"#"</definedName>
    <definedName name="FDC_290_8" hidden="1">"#"</definedName>
    <definedName name="FDC_290_9" hidden="1">"#"</definedName>
    <definedName name="FDC_291_0" hidden="1">"#"</definedName>
    <definedName name="FDC_291_1" hidden="1">"#"</definedName>
    <definedName name="FDC_291_10" hidden="1">"#"</definedName>
    <definedName name="FDC_291_11" hidden="1">"#"</definedName>
    <definedName name="FDC_291_12" hidden="1">"#"</definedName>
    <definedName name="FDC_291_13" hidden="1">"#"</definedName>
    <definedName name="FDC_291_14" hidden="1">"#"</definedName>
    <definedName name="FDC_291_15" hidden="1">"#"</definedName>
    <definedName name="FDC_291_16" hidden="1">"#"</definedName>
    <definedName name="FDC_291_17" hidden="1">"#"</definedName>
    <definedName name="FDC_291_18" hidden="1">"#"</definedName>
    <definedName name="FDC_291_19" hidden="1">"#"</definedName>
    <definedName name="FDC_291_2" hidden="1">"#"</definedName>
    <definedName name="FDC_291_20" hidden="1">"#"</definedName>
    <definedName name="FDC_291_21" hidden="1">"#"</definedName>
    <definedName name="FDC_291_22" hidden="1">"#"</definedName>
    <definedName name="FDC_291_23" hidden="1">"#"</definedName>
    <definedName name="FDC_291_24" hidden="1">"#"</definedName>
    <definedName name="FDC_291_3" hidden="1">"#"</definedName>
    <definedName name="FDC_291_4" hidden="1">"#"</definedName>
    <definedName name="FDC_291_5" hidden="1">"#"</definedName>
    <definedName name="FDC_291_6" hidden="1">"#"</definedName>
    <definedName name="FDC_291_7" hidden="1">"#"</definedName>
    <definedName name="FDC_291_8" hidden="1">"#"</definedName>
    <definedName name="FDC_291_9" hidden="1">"#"</definedName>
    <definedName name="FDC_292_0" hidden="1">"#"</definedName>
    <definedName name="FDC_292_1" hidden="1">"#"</definedName>
    <definedName name="FDC_292_2" hidden="1">"#"</definedName>
    <definedName name="FDC_293_0" hidden="1">"#"</definedName>
    <definedName name="FDC_293_1" hidden="1">"#"</definedName>
    <definedName name="FDC_293_2" hidden="1">"#"</definedName>
    <definedName name="FDC_294_0" hidden="1">"#"</definedName>
    <definedName name="FDC_294_1" hidden="1">"#"</definedName>
    <definedName name="FDC_294_2" hidden="1">"#"</definedName>
    <definedName name="FDC_295_0" hidden="1">"#"</definedName>
    <definedName name="FDC_296_0" hidden="1">"#"</definedName>
    <definedName name="FDC_297_0" hidden="1">"#"</definedName>
    <definedName name="FDC_298_0" hidden="1">"#"</definedName>
    <definedName name="FDC_299_0" hidden="1">"#"</definedName>
    <definedName name="FDC_299_1" hidden="1">"#"</definedName>
    <definedName name="FDC_299_10" hidden="1">"#"</definedName>
    <definedName name="FDC_299_11" hidden="1">"#"</definedName>
    <definedName name="FDC_299_12" hidden="1">"#"</definedName>
    <definedName name="FDC_299_13" hidden="1">"#"</definedName>
    <definedName name="FDC_299_14" hidden="1">"#"</definedName>
    <definedName name="FDC_299_15" hidden="1">"#"</definedName>
    <definedName name="FDC_299_16" hidden="1">"#"</definedName>
    <definedName name="FDC_299_17" hidden="1">"#"</definedName>
    <definedName name="FDC_299_18" hidden="1">"#"</definedName>
    <definedName name="FDC_299_19" hidden="1">"#"</definedName>
    <definedName name="FDC_299_2" hidden="1">"#"</definedName>
    <definedName name="FDC_299_20" hidden="1">"#"</definedName>
    <definedName name="FDC_299_21" hidden="1">"#"</definedName>
    <definedName name="FDC_299_22" hidden="1">"#"</definedName>
    <definedName name="FDC_299_23" hidden="1">"#"</definedName>
    <definedName name="FDC_299_24" hidden="1">"#"</definedName>
    <definedName name="FDC_299_25" hidden="1">"#"</definedName>
    <definedName name="FDC_299_26" hidden="1">"#"</definedName>
    <definedName name="FDC_299_3" hidden="1">"#"</definedName>
    <definedName name="FDC_299_4" hidden="1">"#"</definedName>
    <definedName name="FDC_299_5" hidden="1">"#"</definedName>
    <definedName name="FDC_299_6" hidden="1">"#"</definedName>
    <definedName name="FDC_299_7" hidden="1">"#"</definedName>
    <definedName name="FDC_299_8" hidden="1">"#"</definedName>
    <definedName name="FDC_299_9" hidden="1">"#"</definedName>
    <definedName name="FDC_3_0" hidden="1">"#"</definedName>
    <definedName name="FDC_30_0" hidden="1">"#"</definedName>
    <definedName name="FDC_300_0" hidden="1">"#"</definedName>
    <definedName name="FDC_300_1" hidden="1">"#"</definedName>
    <definedName name="FDC_300_10" hidden="1">"#"</definedName>
    <definedName name="FDC_300_11" hidden="1">"#"</definedName>
    <definedName name="FDC_300_12" hidden="1">"#"</definedName>
    <definedName name="FDC_300_13" hidden="1">"#"</definedName>
    <definedName name="FDC_300_14" hidden="1">"#"</definedName>
    <definedName name="FDC_300_15" hidden="1">"#"</definedName>
    <definedName name="FDC_300_16" hidden="1">"#"</definedName>
    <definedName name="FDC_300_17" hidden="1">"#"</definedName>
    <definedName name="FDC_300_18" hidden="1">"#"</definedName>
    <definedName name="FDC_300_19" hidden="1">"#"</definedName>
    <definedName name="FDC_300_2" hidden="1">"#"</definedName>
    <definedName name="FDC_300_20" hidden="1">"#"</definedName>
    <definedName name="FDC_300_21" hidden="1">"#"</definedName>
    <definedName name="FDC_300_22" hidden="1">"#"</definedName>
    <definedName name="FDC_300_23" hidden="1">"#"</definedName>
    <definedName name="FDC_300_24" hidden="1">"#"</definedName>
    <definedName name="FDC_300_25" hidden="1">"#"</definedName>
    <definedName name="FDC_300_26" hidden="1">"#"</definedName>
    <definedName name="FDC_300_3" hidden="1">"#"</definedName>
    <definedName name="FDC_300_4" hidden="1">"#"</definedName>
    <definedName name="FDC_300_5" hidden="1">"#"</definedName>
    <definedName name="FDC_300_6" hidden="1">"#"</definedName>
    <definedName name="FDC_300_7" hidden="1">"#"</definedName>
    <definedName name="FDC_300_8" hidden="1">"#"</definedName>
    <definedName name="FDC_300_9" hidden="1">"#"</definedName>
    <definedName name="FDC_301_0" hidden="1">"#"</definedName>
    <definedName name="FDC_301_1" hidden="1">"#"</definedName>
    <definedName name="FDC_301_10" hidden="1">"#"</definedName>
    <definedName name="FDC_301_11" hidden="1">"#"</definedName>
    <definedName name="FDC_301_12" hidden="1">"#"</definedName>
    <definedName name="FDC_301_13" hidden="1">"#"</definedName>
    <definedName name="FDC_301_14" hidden="1">"#"</definedName>
    <definedName name="FDC_301_15" hidden="1">"#"</definedName>
    <definedName name="FDC_301_16" hidden="1">"#"</definedName>
    <definedName name="FDC_301_17" hidden="1">"#"</definedName>
    <definedName name="FDC_301_18" hidden="1">"#"</definedName>
    <definedName name="FDC_301_19" hidden="1">"#"</definedName>
    <definedName name="FDC_301_2" hidden="1">"#"</definedName>
    <definedName name="FDC_301_20" hidden="1">"#"</definedName>
    <definedName name="FDC_301_21" hidden="1">"#"</definedName>
    <definedName name="FDC_301_22" hidden="1">"#"</definedName>
    <definedName name="FDC_301_23" hidden="1">"#"</definedName>
    <definedName name="FDC_301_24" hidden="1">"#"</definedName>
    <definedName name="FDC_301_25" hidden="1">"#"</definedName>
    <definedName name="FDC_301_3" hidden="1">"#"</definedName>
    <definedName name="FDC_301_4" hidden="1">"#"</definedName>
    <definedName name="FDC_301_5" hidden="1">"#"</definedName>
    <definedName name="FDC_301_6" hidden="1">"#"</definedName>
    <definedName name="FDC_301_7" hidden="1">"#"</definedName>
    <definedName name="FDC_301_8" hidden="1">"#"</definedName>
    <definedName name="FDC_301_9" hidden="1">"#"</definedName>
    <definedName name="FDC_302_0" hidden="1">"#"</definedName>
    <definedName name="FDC_302_1" hidden="1">"#"</definedName>
    <definedName name="FDC_302_10" hidden="1">"#"</definedName>
    <definedName name="FDC_302_11" hidden="1">"#"</definedName>
    <definedName name="FDC_302_12" hidden="1">"#"</definedName>
    <definedName name="FDC_302_13" hidden="1">"#"</definedName>
    <definedName name="FDC_302_14" hidden="1">"#"</definedName>
    <definedName name="FDC_302_15" hidden="1">"#"</definedName>
    <definedName name="FDC_302_16" hidden="1">"#"</definedName>
    <definedName name="FDC_302_17" hidden="1">"#"</definedName>
    <definedName name="FDC_302_18" hidden="1">"#"</definedName>
    <definedName name="FDC_302_19" hidden="1">"#"</definedName>
    <definedName name="FDC_302_2" hidden="1">"#"</definedName>
    <definedName name="FDC_302_20" hidden="1">"#"</definedName>
    <definedName name="FDC_302_21" hidden="1">"#"</definedName>
    <definedName name="FDC_302_22" hidden="1">"#"</definedName>
    <definedName name="FDC_302_23" hidden="1">"#"</definedName>
    <definedName name="FDC_302_24" hidden="1">"#"</definedName>
    <definedName name="FDC_302_3" hidden="1">"#"</definedName>
    <definedName name="FDC_302_4" hidden="1">"#"</definedName>
    <definedName name="FDC_302_5" hidden="1">"#"</definedName>
    <definedName name="FDC_302_6" hidden="1">"#"</definedName>
    <definedName name="FDC_302_7" hidden="1">"#"</definedName>
    <definedName name="FDC_302_8" hidden="1">"#"</definedName>
    <definedName name="FDC_302_9" hidden="1">"#"</definedName>
    <definedName name="FDC_303_0" hidden="1">"#"</definedName>
    <definedName name="FDC_303_1" hidden="1">"#"</definedName>
    <definedName name="FDC_303_2" hidden="1">"#"</definedName>
    <definedName name="FDC_304_0" hidden="1">"#"</definedName>
    <definedName name="FDC_304_1" hidden="1">"#"</definedName>
    <definedName name="FDC_304_2" hidden="1">"#"</definedName>
    <definedName name="FDC_305_0" hidden="1">"#"</definedName>
    <definedName name="FDC_305_1" hidden="1">"#"</definedName>
    <definedName name="FDC_305_10" hidden="1">"#"</definedName>
    <definedName name="FDC_305_11" hidden="1">"#"</definedName>
    <definedName name="FDC_305_12" hidden="1">"#"</definedName>
    <definedName name="FDC_305_13" hidden="1">"#"</definedName>
    <definedName name="FDC_305_14" hidden="1">"#"</definedName>
    <definedName name="FDC_305_2" hidden="1">"#"</definedName>
    <definedName name="FDC_305_3" hidden="1">"#"</definedName>
    <definedName name="FDC_305_4" hidden="1">"#"</definedName>
    <definedName name="FDC_305_5" hidden="1">"#"</definedName>
    <definedName name="FDC_305_6" hidden="1">"#"</definedName>
    <definedName name="FDC_305_7" hidden="1">"#"</definedName>
    <definedName name="FDC_305_8" hidden="1">"#"</definedName>
    <definedName name="FDC_305_9" hidden="1">"#"</definedName>
    <definedName name="FDC_306_0" hidden="1">"#"</definedName>
    <definedName name="FDC_306_1" hidden="1">"#"</definedName>
    <definedName name="FDC_306_10" hidden="1">"#"</definedName>
    <definedName name="FDC_306_11" hidden="1">"#"</definedName>
    <definedName name="FDC_306_12" hidden="1">"#"</definedName>
    <definedName name="FDC_306_13" hidden="1">"#"</definedName>
    <definedName name="FDC_306_14" hidden="1">"#"</definedName>
    <definedName name="FDC_306_2" hidden="1">"#"</definedName>
    <definedName name="FDC_306_3" hidden="1">"#"</definedName>
    <definedName name="FDC_306_4" hidden="1">"#"</definedName>
    <definedName name="FDC_306_5" hidden="1">"#"</definedName>
    <definedName name="FDC_306_6" hidden="1">"#"</definedName>
    <definedName name="FDC_306_7" hidden="1">"#"</definedName>
    <definedName name="FDC_306_8" hidden="1">"#"</definedName>
    <definedName name="FDC_306_9" hidden="1">"#"</definedName>
    <definedName name="FDC_307_0" hidden="1">"#"</definedName>
    <definedName name="FDC_307_1" hidden="1">"#"</definedName>
    <definedName name="FDC_307_2" hidden="1">"#"</definedName>
    <definedName name="FDC_308_0" hidden="1">"#"</definedName>
    <definedName name="FDC_308_1" hidden="1">"#"</definedName>
    <definedName name="FDC_308_2" hidden="1">"#"</definedName>
    <definedName name="FDC_309_0" hidden="1">"#"</definedName>
    <definedName name="FDC_309_1" hidden="1">"#"</definedName>
    <definedName name="FDC_309_2" hidden="1">"#"</definedName>
    <definedName name="FDC_31_0" hidden="1">"#"</definedName>
    <definedName name="FDC_310_0" hidden="1">"#"</definedName>
    <definedName name="FDC_310_1" hidden="1">"#"</definedName>
    <definedName name="FDC_310_10" hidden="1">"#"</definedName>
    <definedName name="FDC_310_11" hidden="1">"#"</definedName>
    <definedName name="FDC_310_12" hidden="1">"#"</definedName>
    <definedName name="FDC_310_13" hidden="1">"#"</definedName>
    <definedName name="FDC_310_14" hidden="1">"#"</definedName>
    <definedName name="FDC_310_2" hidden="1">"#"</definedName>
    <definedName name="FDC_310_3" hidden="1">"#"</definedName>
    <definedName name="FDC_310_4" hidden="1">"#"</definedName>
    <definedName name="FDC_310_5" hidden="1">"#"</definedName>
    <definedName name="FDC_310_6" hidden="1">"#"</definedName>
    <definedName name="FDC_310_7" hidden="1">"#"</definedName>
    <definedName name="FDC_310_8" hidden="1">"#"</definedName>
    <definedName name="FDC_310_9" hidden="1">"#"</definedName>
    <definedName name="FDC_311_0" hidden="1">"#"</definedName>
    <definedName name="FDC_311_1" hidden="1">"#"</definedName>
    <definedName name="FDC_311_2" hidden="1">"#"</definedName>
    <definedName name="FDC_312_0" hidden="1">"#"</definedName>
    <definedName name="FDC_312_1" hidden="1">"#"</definedName>
    <definedName name="FDC_312_2" hidden="1">"#"</definedName>
    <definedName name="FDC_313_0" hidden="1">"#"</definedName>
    <definedName name="FDC_314_0" hidden="1">"#"</definedName>
    <definedName name="FDC_315_0" hidden="1">"#"</definedName>
    <definedName name="FDC_316_0" hidden="1">"#"</definedName>
    <definedName name="FDC_317_0" hidden="1">"#"</definedName>
    <definedName name="FDC_317_1" hidden="1">"#"</definedName>
    <definedName name="FDC_317_2" hidden="1">"#"</definedName>
    <definedName name="FDC_318_0" hidden="1">"#"</definedName>
    <definedName name="FDC_318_1" hidden="1">"#"</definedName>
    <definedName name="FDC_318_2" hidden="1">"#"</definedName>
    <definedName name="FDC_319_0" hidden="1">"#"</definedName>
    <definedName name="FDC_319_1" hidden="1">"#"</definedName>
    <definedName name="FDC_319_2" hidden="1">"#"</definedName>
    <definedName name="FDC_32_0" hidden="1">"#"</definedName>
    <definedName name="FDC_320_0" hidden="1">"#"</definedName>
    <definedName name="FDC_320_1" hidden="1">"#"</definedName>
    <definedName name="FDC_320_2" hidden="1">"#"</definedName>
    <definedName name="FDC_321_0" hidden="1">"#"</definedName>
    <definedName name="FDC_321_1" hidden="1">"#"</definedName>
    <definedName name="FDC_321_2" hidden="1">"#"</definedName>
    <definedName name="FDC_322_0" hidden="1">"#"</definedName>
    <definedName name="FDC_322_1" hidden="1">"#"</definedName>
    <definedName name="FDC_322_2" hidden="1">"#"</definedName>
    <definedName name="FDC_323_0" hidden="1">"#"</definedName>
    <definedName name="FDC_323_1" hidden="1">"#"</definedName>
    <definedName name="FDC_323_2" hidden="1">"#"</definedName>
    <definedName name="FDC_324_0" hidden="1">"#"</definedName>
    <definedName name="FDC_326_0" hidden="1">"#"</definedName>
    <definedName name="FDC_326_1" hidden="1">"#"</definedName>
    <definedName name="FDC_326_2" hidden="1">"#"</definedName>
    <definedName name="FDC_326_3" hidden="1">"#"</definedName>
    <definedName name="FDC_326_4" hidden="1">"#"</definedName>
    <definedName name="FDC_326_5" hidden="1">"#"</definedName>
    <definedName name="FDC_326_6" hidden="1">"#"</definedName>
    <definedName name="FDC_327_0" hidden="1">"#"</definedName>
    <definedName name="FDC_327_1" hidden="1">"#"</definedName>
    <definedName name="FDC_327_2" hidden="1">"#"</definedName>
    <definedName name="FDC_327_3" hidden="1">"#"</definedName>
    <definedName name="FDC_327_4" hidden="1">"#"</definedName>
    <definedName name="FDC_327_5" hidden="1">"#"</definedName>
    <definedName name="FDC_327_6" hidden="1">"#"</definedName>
    <definedName name="FDC_328_0" hidden="1">"#"</definedName>
    <definedName name="FDC_329_0" hidden="1">"#"</definedName>
    <definedName name="FDC_33_0" hidden="1">"#"</definedName>
    <definedName name="FDC_330_0" hidden="1">"#"</definedName>
    <definedName name="FDC_331_0" hidden="1">"#"</definedName>
    <definedName name="FDC_332_0" hidden="1">"#"</definedName>
    <definedName name="FDC_333_0" hidden="1">"#"</definedName>
    <definedName name="FDC_334_0" hidden="1">"#"</definedName>
    <definedName name="FDC_335_0" hidden="1">"#"</definedName>
    <definedName name="FDC_336_0" hidden="1">"#"</definedName>
    <definedName name="FDC_337_0" hidden="1">"#"</definedName>
    <definedName name="FDC_338_0" hidden="1">"#"</definedName>
    <definedName name="FDC_339_0" hidden="1">"#"</definedName>
    <definedName name="FDC_34_0" hidden="1">"#"</definedName>
    <definedName name="FDC_340_0" hidden="1">"#"</definedName>
    <definedName name="FDC_341_0" hidden="1">"#"</definedName>
    <definedName name="FDC_342_0" hidden="1">"#"</definedName>
    <definedName name="FDC_343_0" hidden="1">"#"</definedName>
    <definedName name="FDC_344_0" hidden="1">"#"</definedName>
    <definedName name="FDC_345_0" hidden="1">"#"</definedName>
    <definedName name="FDC_346_0" hidden="1">"#"</definedName>
    <definedName name="FDC_347_0" hidden="1">"#"</definedName>
    <definedName name="FDC_348_0" hidden="1">"#"</definedName>
    <definedName name="FDC_349_0" hidden="1">"#"</definedName>
    <definedName name="FDC_35_0" hidden="1">"#"</definedName>
    <definedName name="FDC_350_0" hidden="1">"#"</definedName>
    <definedName name="FDC_350_1" hidden="1">"#"</definedName>
    <definedName name="FDC_350_10" hidden="1">"#"</definedName>
    <definedName name="FDC_350_11" hidden="1">"#"</definedName>
    <definedName name="FDC_350_12" hidden="1">"#"</definedName>
    <definedName name="FDC_350_13" hidden="1">"#"</definedName>
    <definedName name="FDC_350_14" hidden="1">"#"</definedName>
    <definedName name="FDC_350_2" hidden="1">"#"</definedName>
    <definedName name="FDC_350_3" hidden="1">"#"</definedName>
    <definedName name="FDC_350_4" hidden="1">"#"</definedName>
    <definedName name="FDC_350_5" hidden="1">"#"</definedName>
    <definedName name="FDC_350_6" hidden="1">"#"</definedName>
    <definedName name="FDC_350_7" hidden="1">"#"</definedName>
    <definedName name="FDC_350_8" hidden="1">"#"</definedName>
    <definedName name="FDC_350_9" hidden="1">"#"</definedName>
    <definedName name="FDC_351_0" hidden="1">"#"</definedName>
    <definedName name="FDC_351_1" hidden="1">"#"</definedName>
    <definedName name="FDC_351_10" hidden="1">"#"</definedName>
    <definedName name="FDC_351_11" hidden="1">"#"</definedName>
    <definedName name="FDC_351_12" hidden="1">"#"</definedName>
    <definedName name="FDC_351_13" hidden="1">"#"</definedName>
    <definedName name="FDC_351_14" hidden="1">"#"</definedName>
    <definedName name="FDC_351_2" hidden="1">"#"</definedName>
    <definedName name="FDC_351_3" hidden="1">"#"</definedName>
    <definedName name="FDC_351_4" hidden="1">"#"</definedName>
    <definedName name="FDC_351_5" hidden="1">"#"</definedName>
    <definedName name="FDC_351_6" hidden="1">"#"</definedName>
    <definedName name="FDC_351_7" hidden="1">"#"</definedName>
    <definedName name="FDC_351_8" hidden="1">"#"</definedName>
    <definedName name="FDC_351_9" hidden="1">"#"</definedName>
    <definedName name="FDC_352_0" hidden="1">"#"</definedName>
    <definedName name="FDC_352_1" hidden="1">"#"</definedName>
    <definedName name="FDC_352_10" hidden="1">"#"</definedName>
    <definedName name="FDC_352_11" hidden="1">"#"</definedName>
    <definedName name="FDC_352_12" hidden="1">"#"</definedName>
    <definedName name="FDC_352_13" hidden="1">"#"</definedName>
    <definedName name="FDC_352_14" hidden="1">"#"</definedName>
    <definedName name="FDC_352_2" hidden="1">"#"</definedName>
    <definedName name="FDC_352_3" hidden="1">"#"</definedName>
    <definedName name="FDC_352_4" hidden="1">"#"</definedName>
    <definedName name="FDC_352_5" hidden="1">"#"</definedName>
    <definedName name="FDC_352_6" hidden="1">"#"</definedName>
    <definedName name="FDC_352_7" hidden="1">"#"</definedName>
    <definedName name="FDC_352_8" hidden="1">"#"</definedName>
    <definedName name="FDC_352_9" hidden="1">"#"</definedName>
    <definedName name="FDC_353_0" hidden="1">"#"</definedName>
    <definedName name="FDC_353_1" hidden="1">"#"</definedName>
    <definedName name="FDC_353_10" hidden="1">"#"</definedName>
    <definedName name="FDC_353_11" hidden="1">"#"</definedName>
    <definedName name="FDC_353_12" hidden="1">"#"</definedName>
    <definedName name="FDC_353_13" hidden="1">"#"</definedName>
    <definedName name="FDC_353_14" hidden="1">"#"</definedName>
    <definedName name="FDC_353_2" hidden="1">"#"</definedName>
    <definedName name="FDC_353_3" hidden="1">"#"</definedName>
    <definedName name="FDC_353_4" hidden="1">"#"</definedName>
    <definedName name="FDC_353_5" hidden="1">"#"</definedName>
    <definedName name="FDC_353_6" hidden="1">"#"</definedName>
    <definedName name="FDC_353_7" hidden="1">"#"</definedName>
    <definedName name="FDC_353_8" hidden="1">"#"</definedName>
    <definedName name="FDC_353_9" hidden="1">"#"</definedName>
    <definedName name="FDC_354_0" hidden="1">"#"</definedName>
    <definedName name="FDC_354_1" hidden="1">"#"</definedName>
    <definedName name="FDC_354_10" hidden="1">"#"</definedName>
    <definedName name="FDC_354_11" hidden="1">"#"</definedName>
    <definedName name="FDC_354_12" hidden="1">"#"</definedName>
    <definedName name="FDC_354_13" hidden="1">"#"</definedName>
    <definedName name="FDC_354_14" hidden="1">"#"</definedName>
    <definedName name="FDC_354_2" hidden="1">"#"</definedName>
    <definedName name="FDC_354_3" hidden="1">"#"</definedName>
    <definedName name="FDC_354_4" hidden="1">"#"</definedName>
    <definedName name="FDC_354_5" hidden="1">"#"</definedName>
    <definedName name="FDC_354_6" hidden="1">"#"</definedName>
    <definedName name="FDC_354_7" hidden="1">"#"</definedName>
    <definedName name="FDC_354_8" hidden="1">"#"</definedName>
    <definedName name="FDC_354_9" hidden="1">"#"</definedName>
    <definedName name="FDC_355_0" hidden="1">"#"</definedName>
    <definedName name="FDC_355_1" hidden="1">"#"</definedName>
    <definedName name="FDC_355_10" hidden="1">"#"</definedName>
    <definedName name="FDC_355_11" hidden="1">"#"</definedName>
    <definedName name="FDC_355_12" hidden="1">"#"</definedName>
    <definedName name="FDC_355_13" hidden="1">"#"</definedName>
    <definedName name="FDC_355_14" hidden="1">"#"</definedName>
    <definedName name="FDC_355_2" hidden="1">"#"</definedName>
    <definedName name="FDC_355_3" hidden="1">"#"</definedName>
    <definedName name="FDC_355_4" hidden="1">"#"</definedName>
    <definedName name="FDC_355_5" hidden="1">"#"</definedName>
    <definedName name="FDC_355_6" hidden="1">"#"</definedName>
    <definedName name="FDC_355_7" hidden="1">"#"</definedName>
    <definedName name="FDC_355_8" hidden="1">"#"</definedName>
    <definedName name="FDC_355_9" hidden="1">"#"</definedName>
    <definedName name="FDC_356_0" hidden="1">"#"</definedName>
    <definedName name="FDC_356_1" hidden="1">"#"</definedName>
    <definedName name="FDC_356_10" hidden="1">"#"</definedName>
    <definedName name="FDC_356_11" hidden="1">"#"</definedName>
    <definedName name="FDC_356_12" hidden="1">"#"</definedName>
    <definedName name="FDC_356_13" hidden="1">"#"</definedName>
    <definedName name="FDC_356_14" hidden="1">"#"</definedName>
    <definedName name="FDC_356_2" hidden="1">"#"</definedName>
    <definedName name="FDC_356_3" hidden="1">"#"</definedName>
    <definedName name="FDC_356_4" hidden="1">"#"</definedName>
    <definedName name="FDC_356_5" hidden="1">"#"</definedName>
    <definedName name="FDC_356_6" hidden="1">"#"</definedName>
    <definedName name="FDC_356_7" hidden="1">"#"</definedName>
    <definedName name="FDC_356_8" hidden="1">"#"</definedName>
    <definedName name="FDC_356_9" hidden="1">"#"</definedName>
    <definedName name="FDC_357_0" hidden="1">"#"</definedName>
    <definedName name="FDC_357_1" hidden="1">"#"</definedName>
    <definedName name="FDC_357_10" hidden="1">"#"</definedName>
    <definedName name="FDC_357_11" hidden="1">"#"</definedName>
    <definedName name="FDC_357_12" hidden="1">"#"</definedName>
    <definedName name="FDC_357_13" hidden="1">"#"</definedName>
    <definedName name="FDC_357_14" hidden="1">"#"</definedName>
    <definedName name="FDC_357_2" hidden="1">"#"</definedName>
    <definedName name="FDC_357_3" hidden="1">"#"</definedName>
    <definedName name="FDC_357_4" hidden="1">"#"</definedName>
    <definedName name="FDC_357_5" hidden="1">"#"</definedName>
    <definedName name="FDC_357_6" hidden="1">"#"</definedName>
    <definedName name="FDC_357_7" hidden="1">"#"</definedName>
    <definedName name="FDC_357_8" hidden="1">"#"</definedName>
    <definedName name="FDC_357_9" hidden="1">"#"</definedName>
    <definedName name="FDC_358_0" hidden="1">"#"</definedName>
    <definedName name="FDC_358_1" hidden="1">"#"</definedName>
    <definedName name="FDC_358_10" hidden="1">"#"</definedName>
    <definedName name="FDC_358_11" hidden="1">"#"</definedName>
    <definedName name="FDC_358_12" hidden="1">"#"</definedName>
    <definedName name="FDC_358_13" hidden="1">"#"</definedName>
    <definedName name="FDC_358_14" hidden="1">"#"</definedName>
    <definedName name="FDC_358_2" hidden="1">"#"</definedName>
    <definedName name="FDC_358_3" hidden="1">"#"</definedName>
    <definedName name="FDC_358_4" hidden="1">"#"</definedName>
    <definedName name="FDC_358_5" hidden="1">"#"</definedName>
    <definedName name="FDC_358_6" hidden="1">"#"</definedName>
    <definedName name="FDC_358_7" hidden="1">"#"</definedName>
    <definedName name="FDC_358_8" hidden="1">"#"</definedName>
    <definedName name="FDC_358_9" hidden="1">"#"</definedName>
    <definedName name="FDC_359_0" hidden="1">"#"</definedName>
    <definedName name="FDC_359_1" hidden="1">"#"</definedName>
    <definedName name="FDC_359_10" hidden="1">"#"</definedName>
    <definedName name="FDC_359_11" hidden="1">"#"</definedName>
    <definedName name="FDC_359_12" hidden="1">"#"</definedName>
    <definedName name="FDC_359_13" hidden="1">"#"</definedName>
    <definedName name="FDC_359_14" hidden="1">"#"</definedName>
    <definedName name="FDC_359_2" hidden="1">"#"</definedName>
    <definedName name="FDC_359_3" hidden="1">"#"</definedName>
    <definedName name="FDC_359_4" hidden="1">"#"</definedName>
    <definedName name="FDC_359_5" hidden="1">"#"</definedName>
    <definedName name="FDC_359_6" hidden="1">"#"</definedName>
    <definedName name="FDC_359_7" hidden="1">"#"</definedName>
    <definedName name="FDC_359_8" hidden="1">"#"</definedName>
    <definedName name="FDC_359_9" hidden="1">"#"</definedName>
    <definedName name="FDC_36_0" hidden="1">"#"</definedName>
    <definedName name="FDC_360_0" hidden="1">"#"</definedName>
    <definedName name="FDC_360_1" hidden="1">"#"</definedName>
    <definedName name="FDC_360_10" hidden="1">"#"</definedName>
    <definedName name="FDC_360_11" hidden="1">"#"</definedName>
    <definedName name="FDC_360_12" hidden="1">"#"</definedName>
    <definedName name="FDC_360_13" hidden="1">"#"</definedName>
    <definedName name="FDC_360_14" hidden="1">"#"</definedName>
    <definedName name="FDC_360_2" hidden="1">"#"</definedName>
    <definedName name="FDC_360_3" hidden="1">"#"</definedName>
    <definedName name="FDC_360_4" hidden="1">"#"</definedName>
    <definedName name="FDC_360_5" hidden="1">"#"</definedName>
    <definedName name="FDC_360_6" hidden="1">"#"</definedName>
    <definedName name="FDC_360_7" hidden="1">"#"</definedName>
    <definedName name="FDC_360_8" hidden="1">"#"</definedName>
    <definedName name="FDC_360_9" hidden="1">"#"</definedName>
    <definedName name="FDC_361_0" hidden="1">"#"</definedName>
    <definedName name="FDC_361_1" hidden="1">"#"</definedName>
    <definedName name="FDC_361_10" hidden="1">"#"</definedName>
    <definedName name="FDC_361_11" hidden="1">"#"</definedName>
    <definedName name="FDC_361_12" hidden="1">"#"</definedName>
    <definedName name="FDC_361_13" hidden="1">"#"</definedName>
    <definedName name="FDC_361_14" hidden="1">"#"</definedName>
    <definedName name="FDC_361_2" hidden="1">"#"</definedName>
    <definedName name="FDC_361_3" hidden="1">"#"</definedName>
    <definedName name="FDC_361_4" hidden="1">"#"</definedName>
    <definedName name="FDC_361_5" hidden="1">"#"</definedName>
    <definedName name="FDC_361_6" hidden="1">"#"</definedName>
    <definedName name="FDC_361_7" hidden="1">"#"</definedName>
    <definedName name="FDC_361_8" hidden="1">"#"</definedName>
    <definedName name="FDC_361_9" hidden="1">"#"</definedName>
    <definedName name="FDC_362_0" hidden="1">"#"</definedName>
    <definedName name="FDC_362_1" hidden="1">"#"</definedName>
    <definedName name="FDC_362_10" hidden="1">"#"</definedName>
    <definedName name="FDC_362_11" hidden="1">"#"</definedName>
    <definedName name="FDC_362_12" hidden="1">"#"</definedName>
    <definedName name="FDC_362_13" hidden="1">"#"</definedName>
    <definedName name="FDC_362_14" hidden="1">"#"</definedName>
    <definedName name="FDC_362_2" hidden="1">"#"</definedName>
    <definedName name="FDC_362_3" hidden="1">"#"</definedName>
    <definedName name="FDC_362_4" hidden="1">"#"</definedName>
    <definedName name="FDC_362_5" hidden="1">"#"</definedName>
    <definedName name="FDC_362_6" hidden="1">"#"</definedName>
    <definedName name="FDC_362_7" hidden="1">"#"</definedName>
    <definedName name="FDC_362_8" hidden="1">"#"</definedName>
    <definedName name="FDC_362_9" hidden="1">"#"</definedName>
    <definedName name="FDC_363_0" hidden="1">"#"</definedName>
    <definedName name="FDC_363_1" hidden="1">"#"</definedName>
    <definedName name="FDC_363_10" hidden="1">"#"</definedName>
    <definedName name="FDC_363_11" hidden="1">"#"</definedName>
    <definedName name="FDC_363_12" hidden="1">"#"</definedName>
    <definedName name="FDC_363_13" hidden="1">"#"</definedName>
    <definedName name="FDC_363_14" hidden="1">"#"</definedName>
    <definedName name="FDC_363_2" hidden="1">"#"</definedName>
    <definedName name="FDC_363_3" hidden="1">"#"</definedName>
    <definedName name="FDC_363_4" hidden="1">"#"</definedName>
    <definedName name="FDC_363_5" hidden="1">"#"</definedName>
    <definedName name="FDC_363_6" hidden="1">"#"</definedName>
    <definedName name="FDC_363_7" hidden="1">"#"</definedName>
    <definedName name="FDC_363_8" hidden="1">"#"</definedName>
    <definedName name="FDC_363_9" hidden="1">"#"</definedName>
    <definedName name="FDC_364_0" hidden="1">"#"</definedName>
    <definedName name="FDC_364_1" hidden="1">"#"</definedName>
    <definedName name="FDC_364_10" hidden="1">"#"</definedName>
    <definedName name="FDC_364_11" hidden="1">"#"</definedName>
    <definedName name="FDC_364_12" hidden="1">"#"</definedName>
    <definedName name="FDC_364_13" hidden="1">"#"</definedName>
    <definedName name="FDC_364_14" hidden="1">"#"</definedName>
    <definedName name="FDC_364_2" hidden="1">"#"</definedName>
    <definedName name="FDC_364_3" hidden="1">"#"</definedName>
    <definedName name="FDC_364_4" hidden="1">"#"</definedName>
    <definedName name="FDC_364_5" hidden="1">"#"</definedName>
    <definedName name="FDC_364_6" hidden="1">"#"</definedName>
    <definedName name="FDC_364_7" hidden="1">"#"</definedName>
    <definedName name="FDC_364_8" hidden="1">"#"</definedName>
    <definedName name="FDC_364_9" hidden="1">"#"</definedName>
    <definedName name="FDC_365_0" hidden="1">"#"</definedName>
    <definedName name="FDC_365_1" hidden="1">"#"</definedName>
    <definedName name="FDC_365_10" hidden="1">"#"</definedName>
    <definedName name="FDC_365_11" hidden="1">"#"</definedName>
    <definedName name="FDC_365_12" hidden="1">"#"</definedName>
    <definedName name="FDC_365_13" hidden="1">"#"</definedName>
    <definedName name="FDC_365_14" hidden="1">"#"</definedName>
    <definedName name="FDC_365_2" hidden="1">"#"</definedName>
    <definedName name="FDC_365_3" hidden="1">"#"</definedName>
    <definedName name="FDC_365_4" hidden="1">"#"</definedName>
    <definedName name="FDC_365_5" hidden="1">"#"</definedName>
    <definedName name="FDC_365_6" hidden="1">"#"</definedName>
    <definedName name="FDC_365_7" hidden="1">"#"</definedName>
    <definedName name="FDC_365_8" hidden="1">"#"</definedName>
    <definedName name="FDC_365_9" hidden="1">"#"</definedName>
    <definedName name="FDC_366_0" hidden="1">"#"</definedName>
    <definedName name="FDC_366_1" hidden="1">"#"</definedName>
    <definedName name="FDC_366_10" hidden="1">"#"</definedName>
    <definedName name="FDC_366_11" hidden="1">"#"</definedName>
    <definedName name="FDC_366_12" hidden="1">"#"</definedName>
    <definedName name="FDC_366_13" hidden="1">"#"</definedName>
    <definedName name="FDC_366_14" hidden="1">"#"</definedName>
    <definedName name="FDC_366_2" hidden="1">"#"</definedName>
    <definedName name="FDC_366_3" hidden="1">"#"</definedName>
    <definedName name="FDC_366_4" hidden="1">"#"</definedName>
    <definedName name="FDC_366_5" hidden="1">"#"</definedName>
    <definedName name="FDC_366_6" hidden="1">"#"</definedName>
    <definedName name="FDC_366_7" hidden="1">"#"</definedName>
    <definedName name="FDC_366_8" hidden="1">"#"</definedName>
    <definedName name="FDC_366_9" hidden="1">"#"</definedName>
    <definedName name="FDC_367_0" hidden="1">"#"</definedName>
    <definedName name="FDC_367_1" hidden="1">"#"</definedName>
    <definedName name="FDC_367_10" hidden="1">"#"</definedName>
    <definedName name="FDC_367_11" hidden="1">"#"</definedName>
    <definedName name="FDC_367_12" hidden="1">"#"</definedName>
    <definedName name="FDC_367_13" hidden="1">"#"</definedName>
    <definedName name="FDC_367_14" hidden="1">"#"</definedName>
    <definedName name="FDC_367_2" hidden="1">"#"</definedName>
    <definedName name="FDC_367_3" hidden="1">"#"</definedName>
    <definedName name="FDC_367_4" hidden="1">"#"</definedName>
    <definedName name="FDC_367_5" hidden="1">"#"</definedName>
    <definedName name="FDC_367_6" hidden="1">"#"</definedName>
    <definedName name="FDC_367_7" hidden="1">"#"</definedName>
    <definedName name="FDC_367_8" hidden="1">"#"</definedName>
    <definedName name="FDC_367_9" hidden="1">"#"</definedName>
    <definedName name="FDC_368_0" hidden="1">"#"</definedName>
    <definedName name="FDC_368_1" hidden="1">"#"</definedName>
    <definedName name="FDC_368_10" hidden="1">"#"</definedName>
    <definedName name="FDC_368_11" hidden="1">"#"</definedName>
    <definedName name="FDC_368_12" hidden="1">"#"</definedName>
    <definedName name="FDC_368_13" hidden="1">"#"</definedName>
    <definedName name="FDC_368_14" hidden="1">"#"</definedName>
    <definedName name="FDC_368_2" hidden="1">"#"</definedName>
    <definedName name="FDC_368_3" hidden="1">"#"</definedName>
    <definedName name="FDC_368_4" hidden="1">"#"</definedName>
    <definedName name="FDC_368_5" hidden="1">"#"</definedName>
    <definedName name="FDC_368_6" hidden="1">"#"</definedName>
    <definedName name="FDC_368_7" hidden="1">"#"</definedName>
    <definedName name="FDC_368_8" hidden="1">"#"</definedName>
    <definedName name="FDC_368_9" hidden="1">"#"</definedName>
    <definedName name="FDC_369_0" hidden="1">"#"</definedName>
    <definedName name="FDC_369_1" hidden="1">"#"</definedName>
    <definedName name="FDC_369_10" hidden="1">"#"</definedName>
    <definedName name="FDC_369_11" hidden="1">"#"</definedName>
    <definedName name="FDC_369_12" hidden="1">"#"</definedName>
    <definedName name="FDC_369_13" hidden="1">"#"</definedName>
    <definedName name="FDC_369_14" hidden="1">"#"</definedName>
    <definedName name="FDC_369_2" hidden="1">"#"</definedName>
    <definedName name="FDC_369_3" hidden="1">"#"</definedName>
    <definedName name="FDC_369_4" hidden="1">"#"</definedName>
    <definedName name="FDC_369_5" hidden="1">"#"</definedName>
    <definedName name="FDC_369_6" hidden="1">"#"</definedName>
    <definedName name="FDC_369_7" hidden="1">"#"</definedName>
    <definedName name="FDC_369_8" hidden="1">"#"</definedName>
    <definedName name="FDC_369_9" hidden="1">"#"</definedName>
    <definedName name="FDC_37_0" hidden="1">"#"</definedName>
    <definedName name="FDC_370_0" hidden="1">"#"</definedName>
    <definedName name="FDC_370_1" hidden="1">"#"</definedName>
    <definedName name="FDC_370_10" hidden="1">"#"</definedName>
    <definedName name="FDC_370_11" hidden="1">"#"</definedName>
    <definedName name="FDC_370_12" hidden="1">"#"</definedName>
    <definedName name="FDC_370_13" hidden="1">"#"</definedName>
    <definedName name="FDC_370_14" hidden="1">"#"</definedName>
    <definedName name="FDC_370_2" hidden="1">"#"</definedName>
    <definedName name="FDC_370_3" hidden="1">"#"</definedName>
    <definedName name="FDC_370_4" hidden="1">"#"</definedName>
    <definedName name="FDC_370_5" hidden="1">"#"</definedName>
    <definedName name="FDC_370_6" hidden="1">"#"</definedName>
    <definedName name="FDC_370_7" hidden="1">"#"</definedName>
    <definedName name="FDC_370_8" hidden="1">"#"</definedName>
    <definedName name="FDC_370_9" hidden="1">"#"</definedName>
    <definedName name="FDC_371_0" hidden="1">"#"</definedName>
    <definedName name="FDC_371_1" hidden="1">"#"</definedName>
    <definedName name="FDC_371_10" hidden="1">"#"</definedName>
    <definedName name="FDC_371_11" hidden="1">"#"</definedName>
    <definedName name="FDC_371_12" hidden="1">"#"</definedName>
    <definedName name="FDC_371_13" hidden="1">"#"</definedName>
    <definedName name="FDC_371_14" hidden="1">"#"</definedName>
    <definedName name="FDC_371_2" hidden="1">"#"</definedName>
    <definedName name="FDC_371_3" hidden="1">"#"</definedName>
    <definedName name="FDC_371_4" hidden="1">"#"</definedName>
    <definedName name="FDC_371_5" hidden="1">"#"</definedName>
    <definedName name="FDC_371_6" hidden="1">"#"</definedName>
    <definedName name="FDC_371_7" hidden="1">"#"</definedName>
    <definedName name="FDC_371_8" hidden="1">"#"</definedName>
    <definedName name="FDC_371_9" hidden="1">"#"</definedName>
    <definedName name="FDC_372_0" hidden="1">"#"</definedName>
    <definedName name="FDC_372_1" hidden="1">"#"</definedName>
    <definedName name="FDC_372_10" hidden="1">"#"</definedName>
    <definedName name="FDC_372_11" hidden="1">"#"</definedName>
    <definedName name="FDC_372_12" hidden="1">"#"</definedName>
    <definedName name="FDC_372_13" hidden="1">"#"</definedName>
    <definedName name="FDC_372_14" hidden="1">"#"</definedName>
    <definedName name="FDC_372_2" hidden="1">"#"</definedName>
    <definedName name="FDC_372_3" hidden="1">"#"</definedName>
    <definedName name="FDC_372_4" hidden="1">"#"</definedName>
    <definedName name="FDC_372_5" hidden="1">"#"</definedName>
    <definedName name="FDC_372_6" hidden="1">"#"</definedName>
    <definedName name="FDC_372_7" hidden="1">"#"</definedName>
    <definedName name="FDC_372_8" hidden="1">"#"</definedName>
    <definedName name="FDC_372_9" hidden="1">"#"</definedName>
    <definedName name="FDC_373_0" hidden="1">"#"</definedName>
    <definedName name="FDC_373_1" hidden="1">"#"</definedName>
    <definedName name="FDC_373_10" hidden="1">"#"</definedName>
    <definedName name="FDC_373_11" hidden="1">"#"</definedName>
    <definedName name="FDC_373_12" hidden="1">"#"</definedName>
    <definedName name="FDC_373_13" hidden="1">"#"</definedName>
    <definedName name="FDC_373_14" hidden="1">"#"</definedName>
    <definedName name="FDC_373_2" hidden="1">"#"</definedName>
    <definedName name="FDC_373_3" hidden="1">"#"</definedName>
    <definedName name="FDC_373_4" hidden="1">"#"</definedName>
    <definedName name="FDC_373_5" hidden="1">"#"</definedName>
    <definedName name="FDC_373_6" hidden="1">"#"</definedName>
    <definedName name="FDC_373_7" hidden="1">"#"</definedName>
    <definedName name="FDC_373_8" hidden="1">"#"</definedName>
    <definedName name="FDC_373_9" hidden="1">"#"</definedName>
    <definedName name="FDC_374_0" hidden="1">"#"</definedName>
    <definedName name="FDC_374_1" hidden="1">"#"</definedName>
    <definedName name="FDC_374_10" hidden="1">"#"</definedName>
    <definedName name="FDC_374_11" hidden="1">"#"</definedName>
    <definedName name="FDC_374_12" hidden="1">"#"</definedName>
    <definedName name="FDC_374_13" hidden="1">"#"</definedName>
    <definedName name="FDC_374_14" hidden="1">"#"</definedName>
    <definedName name="FDC_374_2" hidden="1">"#"</definedName>
    <definedName name="FDC_374_3" hidden="1">"#"</definedName>
    <definedName name="FDC_374_4" hidden="1">"#"</definedName>
    <definedName name="FDC_374_5" hidden="1">"#"</definedName>
    <definedName name="FDC_374_6" hidden="1">"#"</definedName>
    <definedName name="FDC_374_7" hidden="1">"#"</definedName>
    <definedName name="FDC_374_8" hidden="1">"#"</definedName>
    <definedName name="FDC_374_9" hidden="1">"#"</definedName>
    <definedName name="FDC_375_0" hidden="1">"#"</definedName>
    <definedName name="FDC_375_1" hidden="1">"#"</definedName>
    <definedName name="FDC_375_10" hidden="1">"#"</definedName>
    <definedName name="FDC_375_11" hidden="1">"#"</definedName>
    <definedName name="FDC_375_12" hidden="1">"#"</definedName>
    <definedName name="FDC_375_13" hidden="1">"#"</definedName>
    <definedName name="FDC_375_14" hidden="1">"#"</definedName>
    <definedName name="FDC_375_2" hidden="1">"#"</definedName>
    <definedName name="FDC_375_3" hidden="1">"#"</definedName>
    <definedName name="FDC_375_4" hidden="1">"#"</definedName>
    <definedName name="FDC_375_5" hidden="1">"#"</definedName>
    <definedName name="FDC_375_6" hidden="1">"#"</definedName>
    <definedName name="FDC_375_7" hidden="1">"#"</definedName>
    <definedName name="FDC_375_8" hidden="1">"#"</definedName>
    <definedName name="FDC_375_9" hidden="1">"#"</definedName>
    <definedName name="FDC_376_0" hidden="1">"#"</definedName>
    <definedName name="FDC_376_1" hidden="1">"#"</definedName>
    <definedName name="FDC_376_2" hidden="1">"#"</definedName>
    <definedName name="FDC_376_3" hidden="1">"#"</definedName>
    <definedName name="FDC_376_4" hidden="1">"#"</definedName>
    <definedName name="FDC_376_5" hidden="1">"#"</definedName>
    <definedName name="FDC_376_6" hidden="1">"#"</definedName>
    <definedName name="FDC_377_0" hidden="1">"#"</definedName>
    <definedName name="FDC_377_1" hidden="1">"#"</definedName>
    <definedName name="FDC_377_2" hidden="1">"#"</definedName>
    <definedName name="FDC_377_3" hidden="1">"#"</definedName>
    <definedName name="FDC_377_4" hidden="1">"#"</definedName>
    <definedName name="FDC_377_5" hidden="1">"#"</definedName>
    <definedName name="FDC_377_6" hidden="1">"#"</definedName>
    <definedName name="FDC_38_0" hidden="1">"#"</definedName>
    <definedName name="FDC_39_0" hidden="1">"#"</definedName>
    <definedName name="FDC_4_0" hidden="1">"#"</definedName>
    <definedName name="FDC_40_0" hidden="1">"#"</definedName>
    <definedName name="FDC_41_0" hidden="1">"#"</definedName>
    <definedName name="FDC_42_0" hidden="1">"#"</definedName>
    <definedName name="FDC_43_0" hidden="1">"#"</definedName>
    <definedName name="FDC_43_1" hidden="1">"#"</definedName>
    <definedName name="FDC_43_10" hidden="1">"#"</definedName>
    <definedName name="FDC_43_11" hidden="1">"#"</definedName>
    <definedName name="FDC_43_12" hidden="1">"#"</definedName>
    <definedName name="FDC_43_13" hidden="1">"#"</definedName>
    <definedName name="FDC_43_14" hidden="1">"#"</definedName>
    <definedName name="FDC_43_2" hidden="1">"#"</definedName>
    <definedName name="FDC_43_3" hidden="1">"#"</definedName>
    <definedName name="FDC_43_4" hidden="1">"#"</definedName>
    <definedName name="FDC_43_5" hidden="1">"#"</definedName>
    <definedName name="FDC_43_6" hidden="1">"#"</definedName>
    <definedName name="FDC_43_7" hidden="1">"#"</definedName>
    <definedName name="FDC_43_8" hidden="1">"#"</definedName>
    <definedName name="FDC_43_9" hidden="1">"#"</definedName>
    <definedName name="FDC_44_0" hidden="1">"#"</definedName>
    <definedName name="FDC_44_1" hidden="1">"#"</definedName>
    <definedName name="FDC_44_10" hidden="1">"#"</definedName>
    <definedName name="FDC_44_11" hidden="1">"#"</definedName>
    <definedName name="FDC_44_12" hidden="1">"#"</definedName>
    <definedName name="FDC_44_13" hidden="1">"#"</definedName>
    <definedName name="FDC_44_14" hidden="1">"#"</definedName>
    <definedName name="FDC_44_2" hidden="1">"#"</definedName>
    <definedName name="FDC_44_3" hidden="1">"#"</definedName>
    <definedName name="FDC_44_4" hidden="1">"#"</definedName>
    <definedName name="FDC_44_5" hidden="1">"#"</definedName>
    <definedName name="FDC_44_6" hidden="1">"#"</definedName>
    <definedName name="FDC_44_7" hidden="1">"#"</definedName>
    <definedName name="FDC_44_8" hidden="1">"#"</definedName>
    <definedName name="FDC_44_9" hidden="1">"#"</definedName>
    <definedName name="FDC_45_0" hidden="1">"#"</definedName>
    <definedName name="FDC_45_1" hidden="1">"#"</definedName>
    <definedName name="FDC_45_10" hidden="1">"#"</definedName>
    <definedName name="FDC_45_11" hidden="1">"#"</definedName>
    <definedName name="FDC_45_12" hidden="1">"#"</definedName>
    <definedName name="FDC_45_13" hidden="1">"#"</definedName>
    <definedName name="FDC_45_14" hidden="1">"#"</definedName>
    <definedName name="FDC_45_2" hidden="1">"#"</definedName>
    <definedName name="FDC_45_3" hidden="1">"#"</definedName>
    <definedName name="FDC_45_4" hidden="1">"#"</definedName>
    <definedName name="FDC_45_5" hidden="1">"#"</definedName>
    <definedName name="FDC_45_6" hidden="1">"#"</definedName>
    <definedName name="FDC_45_7" hidden="1">"#"</definedName>
    <definedName name="FDC_45_8" hidden="1">"#"</definedName>
    <definedName name="FDC_45_9" hidden="1">"#"</definedName>
    <definedName name="FDC_46_0" hidden="1">"#"</definedName>
    <definedName name="FDC_46_1" hidden="1">"#"</definedName>
    <definedName name="FDC_46_10" hidden="1">"#"</definedName>
    <definedName name="FDC_46_11" hidden="1">"#"</definedName>
    <definedName name="FDC_46_12" hidden="1">"#"</definedName>
    <definedName name="FDC_46_13" hidden="1">"#"</definedName>
    <definedName name="FDC_46_14" hidden="1">"#"</definedName>
    <definedName name="FDC_46_2" hidden="1">"#"</definedName>
    <definedName name="FDC_46_3" hidden="1">"#"</definedName>
    <definedName name="FDC_46_4" hidden="1">"#"</definedName>
    <definedName name="FDC_46_5" hidden="1">"#"</definedName>
    <definedName name="FDC_46_6" hidden="1">"#"</definedName>
    <definedName name="FDC_46_7" hidden="1">"#"</definedName>
    <definedName name="FDC_46_8" hidden="1">"#"</definedName>
    <definedName name="FDC_46_9" hidden="1">"#"</definedName>
    <definedName name="FDC_47_0" hidden="1">"#"</definedName>
    <definedName name="FDC_47_1" hidden="1">"#"</definedName>
    <definedName name="FDC_47_10" hidden="1">"#"</definedName>
    <definedName name="FDC_47_11" hidden="1">"#"</definedName>
    <definedName name="FDC_47_12" hidden="1">"#"</definedName>
    <definedName name="FDC_47_13" hidden="1">"#"</definedName>
    <definedName name="FDC_47_14" hidden="1">"#"</definedName>
    <definedName name="FDC_47_2" hidden="1">"#"</definedName>
    <definedName name="FDC_47_3" hidden="1">"#"</definedName>
    <definedName name="FDC_47_4" hidden="1">"#"</definedName>
    <definedName name="FDC_47_5" hidden="1">"#"</definedName>
    <definedName name="FDC_47_6" hidden="1">"#"</definedName>
    <definedName name="FDC_47_7" hidden="1">"#"</definedName>
    <definedName name="FDC_47_8" hidden="1">"#"</definedName>
    <definedName name="FDC_47_9" hidden="1">"#"</definedName>
    <definedName name="FDC_48_0" hidden="1">"#"</definedName>
    <definedName name="FDC_48_1" hidden="1">"#"</definedName>
    <definedName name="FDC_48_10" hidden="1">"#"</definedName>
    <definedName name="FDC_48_11" hidden="1">"#"</definedName>
    <definedName name="FDC_48_12" hidden="1">"#"</definedName>
    <definedName name="FDC_48_13" hidden="1">"#"</definedName>
    <definedName name="FDC_48_14" hidden="1">"#"</definedName>
    <definedName name="FDC_48_2" hidden="1">"#"</definedName>
    <definedName name="FDC_48_3" hidden="1">"#"</definedName>
    <definedName name="FDC_48_4" hidden="1">"#"</definedName>
    <definedName name="FDC_48_5" hidden="1">"#"</definedName>
    <definedName name="FDC_48_6" hidden="1">"#"</definedName>
    <definedName name="FDC_48_7" hidden="1">"#"</definedName>
    <definedName name="FDC_48_8" hidden="1">"#"</definedName>
    <definedName name="FDC_48_9" hidden="1">"#"</definedName>
    <definedName name="FDC_49_0" hidden="1">"#"</definedName>
    <definedName name="FDC_49_1" hidden="1">"#"</definedName>
    <definedName name="FDC_49_10" hidden="1">"#"</definedName>
    <definedName name="FDC_49_11" hidden="1">"#"</definedName>
    <definedName name="FDC_49_12" hidden="1">"#"</definedName>
    <definedName name="FDC_49_13" hidden="1">"#"</definedName>
    <definedName name="FDC_49_14" hidden="1">"#"</definedName>
    <definedName name="FDC_49_2" hidden="1">"#"</definedName>
    <definedName name="FDC_49_3" hidden="1">"#"</definedName>
    <definedName name="FDC_49_4" hidden="1">"#"</definedName>
    <definedName name="FDC_49_5" hidden="1">"#"</definedName>
    <definedName name="FDC_49_6" hidden="1">"#"</definedName>
    <definedName name="FDC_49_7" hidden="1">"#"</definedName>
    <definedName name="FDC_49_8" hidden="1">"#"</definedName>
    <definedName name="FDC_49_9" hidden="1">"#"</definedName>
    <definedName name="FDC_5_0" hidden="1">"#"</definedName>
    <definedName name="FDC_50_0" hidden="1">"#"</definedName>
    <definedName name="FDC_50_1" hidden="1">"#"</definedName>
    <definedName name="FDC_50_10" hidden="1">"#"</definedName>
    <definedName name="FDC_50_11" hidden="1">"#"</definedName>
    <definedName name="FDC_50_12" hidden="1">"#"</definedName>
    <definedName name="FDC_50_13" hidden="1">"#"</definedName>
    <definedName name="FDC_50_14" hidden="1">"#"</definedName>
    <definedName name="FDC_50_2" hidden="1">"#"</definedName>
    <definedName name="FDC_50_3" hidden="1">"#"</definedName>
    <definedName name="FDC_50_4" hidden="1">"#"</definedName>
    <definedName name="FDC_50_5" hidden="1">"#"</definedName>
    <definedName name="FDC_50_6" hidden="1">"#"</definedName>
    <definedName name="FDC_50_7" hidden="1">"#"</definedName>
    <definedName name="FDC_50_8" hidden="1">"#"</definedName>
    <definedName name="FDC_50_9" hidden="1">"#"</definedName>
    <definedName name="FDC_51_0" hidden="1">"#"</definedName>
    <definedName name="FDC_51_1" hidden="1">"#"</definedName>
    <definedName name="FDC_51_10" hidden="1">"#"</definedName>
    <definedName name="FDC_51_11" hidden="1">"#"</definedName>
    <definedName name="FDC_51_12" hidden="1">"#"</definedName>
    <definedName name="FDC_51_13" hidden="1">"#"</definedName>
    <definedName name="FDC_51_14" hidden="1">"#"</definedName>
    <definedName name="FDC_51_2" hidden="1">"#"</definedName>
    <definedName name="FDC_51_3" hidden="1">"#"</definedName>
    <definedName name="FDC_51_4" hidden="1">"#"</definedName>
    <definedName name="FDC_51_5" hidden="1">"#"</definedName>
    <definedName name="FDC_51_6" hidden="1">"#"</definedName>
    <definedName name="FDC_51_7" hidden="1">"#"</definedName>
    <definedName name="FDC_51_8" hidden="1">"#"</definedName>
    <definedName name="FDC_51_9" hidden="1">"#"</definedName>
    <definedName name="FDC_52_0" hidden="1">"#"</definedName>
    <definedName name="FDC_52_1" hidden="1">"#"</definedName>
    <definedName name="FDC_52_10" hidden="1">"#"</definedName>
    <definedName name="FDC_52_11" hidden="1">"#"</definedName>
    <definedName name="FDC_52_12" hidden="1">"#"</definedName>
    <definedName name="FDC_52_13" hidden="1">"#"</definedName>
    <definedName name="FDC_52_14" hidden="1">"#"</definedName>
    <definedName name="FDC_52_2" hidden="1">"#"</definedName>
    <definedName name="FDC_52_3" hidden="1">"#"</definedName>
    <definedName name="FDC_52_4" hidden="1">"#"</definedName>
    <definedName name="FDC_52_5" hidden="1">"#"</definedName>
    <definedName name="FDC_52_6" hidden="1">"#"</definedName>
    <definedName name="FDC_52_7" hidden="1">"#"</definedName>
    <definedName name="FDC_52_8" hidden="1">"#"</definedName>
    <definedName name="FDC_52_9" hidden="1">"#"</definedName>
    <definedName name="FDC_53_0" hidden="1">"#"</definedName>
    <definedName name="FDC_53_1" hidden="1">"#"</definedName>
    <definedName name="FDC_53_10" hidden="1">"#"</definedName>
    <definedName name="FDC_53_11" hidden="1">"#"</definedName>
    <definedName name="FDC_53_12" hidden="1">"#"</definedName>
    <definedName name="FDC_53_13" hidden="1">"#"</definedName>
    <definedName name="FDC_53_14" hidden="1">"#"</definedName>
    <definedName name="FDC_53_2" hidden="1">"#"</definedName>
    <definedName name="FDC_53_3" hidden="1">"#"</definedName>
    <definedName name="FDC_53_4" hidden="1">"#"</definedName>
    <definedName name="FDC_53_5" hidden="1">"#"</definedName>
    <definedName name="FDC_53_6" hidden="1">"#"</definedName>
    <definedName name="FDC_53_7" hidden="1">"#"</definedName>
    <definedName name="FDC_53_8" hidden="1">"#"</definedName>
    <definedName name="FDC_53_9" hidden="1">"#"</definedName>
    <definedName name="FDC_54_0" hidden="1">"#"</definedName>
    <definedName name="FDC_54_1" hidden="1">"#"</definedName>
    <definedName name="FDC_54_10" hidden="1">"#"</definedName>
    <definedName name="FDC_54_11" hidden="1">"#"</definedName>
    <definedName name="FDC_54_12" hidden="1">"#"</definedName>
    <definedName name="FDC_54_13" hidden="1">"#"</definedName>
    <definedName name="FDC_54_14" hidden="1">"#"</definedName>
    <definedName name="FDC_54_2" hidden="1">"#"</definedName>
    <definedName name="FDC_54_3" hidden="1">"#"</definedName>
    <definedName name="FDC_54_4" hidden="1">"#"</definedName>
    <definedName name="FDC_54_5" hidden="1">"#"</definedName>
    <definedName name="FDC_54_6" hidden="1">"#"</definedName>
    <definedName name="FDC_54_7" hidden="1">"#"</definedName>
    <definedName name="FDC_54_8" hidden="1">"#"</definedName>
    <definedName name="FDC_54_9" hidden="1">"#"</definedName>
    <definedName name="FDC_55_0" hidden="1">"#"</definedName>
    <definedName name="FDC_55_1" hidden="1">"#"</definedName>
    <definedName name="FDC_55_10" hidden="1">"#"</definedName>
    <definedName name="FDC_55_11" hidden="1">"#"</definedName>
    <definedName name="FDC_55_12" hidden="1">"#"</definedName>
    <definedName name="FDC_55_13" hidden="1">"#"</definedName>
    <definedName name="FDC_55_14" hidden="1">"#"</definedName>
    <definedName name="FDC_55_2" hidden="1">"#"</definedName>
    <definedName name="FDC_55_3" hidden="1">"#"</definedName>
    <definedName name="FDC_55_4" hidden="1">"#"</definedName>
    <definedName name="FDC_55_5" hidden="1">"#"</definedName>
    <definedName name="FDC_55_6" hidden="1">"#"</definedName>
    <definedName name="FDC_55_7" hidden="1">"#"</definedName>
    <definedName name="FDC_55_8" hidden="1">"#"</definedName>
    <definedName name="FDC_55_9" hidden="1">"#"</definedName>
    <definedName name="FDC_56_0" hidden="1">"#"</definedName>
    <definedName name="FDC_56_1" hidden="1">"#"</definedName>
    <definedName name="FDC_56_10" hidden="1">"#"</definedName>
    <definedName name="FDC_56_11" hidden="1">"#"</definedName>
    <definedName name="FDC_56_12" hidden="1">"#"</definedName>
    <definedName name="FDC_56_13" hidden="1">"#"</definedName>
    <definedName name="FDC_56_14" hidden="1">"#"</definedName>
    <definedName name="FDC_56_2" hidden="1">"#"</definedName>
    <definedName name="FDC_56_3" hidden="1">"#"</definedName>
    <definedName name="FDC_56_4" hidden="1">"#"</definedName>
    <definedName name="FDC_56_5" hidden="1">"#"</definedName>
    <definedName name="FDC_56_6" hidden="1">"#"</definedName>
    <definedName name="FDC_56_7" hidden="1">"#"</definedName>
    <definedName name="FDC_56_8" hidden="1">"#"</definedName>
    <definedName name="FDC_56_9" hidden="1">"#"</definedName>
    <definedName name="FDC_57_0" hidden="1">"#"</definedName>
    <definedName name="FDC_57_1" hidden="1">"#"</definedName>
    <definedName name="FDC_57_10" hidden="1">"#"</definedName>
    <definedName name="FDC_57_11" hidden="1">"#"</definedName>
    <definedName name="FDC_57_12" hidden="1">"#"</definedName>
    <definedName name="FDC_57_13" hidden="1">"#"</definedName>
    <definedName name="FDC_57_14" hidden="1">"#"</definedName>
    <definedName name="FDC_57_2" hidden="1">"#"</definedName>
    <definedName name="FDC_57_3" hidden="1">"#"</definedName>
    <definedName name="FDC_57_4" hidden="1">"#"</definedName>
    <definedName name="FDC_57_5" hidden="1">"#"</definedName>
    <definedName name="FDC_57_6" hidden="1">"#"</definedName>
    <definedName name="FDC_57_7" hidden="1">"#"</definedName>
    <definedName name="FDC_57_8" hidden="1">"#"</definedName>
    <definedName name="FDC_57_9" hidden="1">"#"</definedName>
    <definedName name="FDC_58_0" hidden="1">"#"</definedName>
    <definedName name="FDC_58_1" hidden="1">"#"</definedName>
    <definedName name="FDC_58_10" hidden="1">"#"</definedName>
    <definedName name="FDC_58_11" hidden="1">"#"</definedName>
    <definedName name="FDC_58_12" hidden="1">"#"</definedName>
    <definedName name="FDC_58_13" hidden="1">"#"</definedName>
    <definedName name="FDC_58_14" hidden="1">"#"</definedName>
    <definedName name="FDC_58_2" hidden="1">"#"</definedName>
    <definedName name="FDC_58_3" hidden="1">"#"</definedName>
    <definedName name="FDC_58_4" hidden="1">"#"</definedName>
    <definedName name="FDC_58_5" hidden="1">"#"</definedName>
    <definedName name="FDC_58_6" hidden="1">"#"</definedName>
    <definedName name="FDC_58_7" hidden="1">"#"</definedName>
    <definedName name="FDC_58_8" hidden="1">"#"</definedName>
    <definedName name="FDC_58_9" hidden="1">"#"</definedName>
    <definedName name="FDC_59_0" hidden="1">"#"</definedName>
    <definedName name="FDC_59_1" hidden="1">"#"</definedName>
    <definedName name="FDC_59_10" hidden="1">"#"</definedName>
    <definedName name="FDC_59_11" hidden="1">"#"</definedName>
    <definedName name="FDC_59_12" hidden="1">"#"</definedName>
    <definedName name="FDC_59_13" hidden="1">"#"</definedName>
    <definedName name="FDC_59_14" hidden="1">"#"</definedName>
    <definedName name="FDC_59_2" hidden="1">"#"</definedName>
    <definedName name="FDC_59_3" hidden="1">"#"</definedName>
    <definedName name="FDC_59_4" hidden="1">"#"</definedName>
    <definedName name="FDC_59_5" hidden="1">"#"</definedName>
    <definedName name="FDC_59_6" hidden="1">"#"</definedName>
    <definedName name="FDC_59_7" hidden="1">"#"</definedName>
    <definedName name="FDC_59_8" hidden="1">"#"</definedName>
    <definedName name="FDC_59_9" hidden="1">"#"</definedName>
    <definedName name="FDC_6_0" hidden="1">"#"</definedName>
    <definedName name="FDC_60_0" hidden="1">"#"</definedName>
    <definedName name="FDC_60_1" hidden="1">"#"</definedName>
    <definedName name="FDC_60_10" hidden="1">"#"</definedName>
    <definedName name="FDC_60_11" hidden="1">"#"</definedName>
    <definedName name="FDC_60_12" hidden="1">"#"</definedName>
    <definedName name="FDC_60_13" hidden="1">"#"</definedName>
    <definedName name="FDC_60_14" hidden="1">"#"</definedName>
    <definedName name="FDC_60_2" hidden="1">"#"</definedName>
    <definedName name="FDC_60_3" hidden="1">"#"</definedName>
    <definedName name="FDC_60_4" hidden="1">"#"</definedName>
    <definedName name="FDC_60_5" hidden="1">"#"</definedName>
    <definedName name="FDC_60_6" hidden="1">"#"</definedName>
    <definedName name="FDC_60_7" hidden="1">"#"</definedName>
    <definedName name="FDC_60_8" hidden="1">"#"</definedName>
    <definedName name="FDC_60_9" hidden="1">"#"</definedName>
    <definedName name="FDC_61_0" hidden="1">"#"</definedName>
    <definedName name="FDC_61_1" hidden="1">"#"</definedName>
    <definedName name="FDC_61_10" hidden="1">"#"</definedName>
    <definedName name="FDC_61_11" hidden="1">"#"</definedName>
    <definedName name="FDC_61_12" hidden="1">"#"</definedName>
    <definedName name="FDC_61_13" hidden="1">"#"</definedName>
    <definedName name="FDC_61_14" hidden="1">"#"</definedName>
    <definedName name="FDC_61_2" hidden="1">"#"</definedName>
    <definedName name="FDC_61_3" hidden="1">"#"</definedName>
    <definedName name="FDC_61_4" hidden="1">"#"</definedName>
    <definedName name="FDC_61_5" hidden="1">"#"</definedName>
    <definedName name="FDC_61_6" hidden="1">"#"</definedName>
    <definedName name="FDC_61_7" hidden="1">"#"</definedName>
    <definedName name="FDC_61_8" hidden="1">"#"</definedName>
    <definedName name="FDC_61_9" hidden="1">"#"</definedName>
    <definedName name="FDC_62_0" hidden="1">"#"</definedName>
    <definedName name="FDC_62_1" hidden="1">"#"</definedName>
    <definedName name="FDC_62_10" hidden="1">"#"</definedName>
    <definedName name="FDC_62_11" hidden="1">"#"</definedName>
    <definedName name="FDC_62_12" hidden="1">"#"</definedName>
    <definedName name="FDC_62_13" hidden="1">"#"</definedName>
    <definedName name="FDC_62_14" hidden="1">"#"</definedName>
    <definedName name="FDC_62_2" hidden="1">"#"</definedName>
    <definedName name="FDC_62_3" hidden="1">"#"</definedName>
    <definedName name="FDC_62_4" hidden="1">"#"</definedName>
    <definedName name="FDC_62_5" hidden="1">"#"</definedName>
    <definedName name="FDC_62_6" hidden="1">"#"</definedName>
    <definedName name="FDC_62_7" hidden="1">"#"</definedName>
    <definedName name="FDC_62_8" hidden="1">"#"</definedName>
    <definedName name="FDC_62_9" hidden="1">"#"</definedName>
    <definedName name="FDC_63_0" hidden="1">"#"</definedName>
    <definedName name="FDC_63_1" hidden="1">"#"</definedName>
    <definedName name="FDC_63_10" hidden="1">"#"</definedName>
    <definedName name="FDC_63_11" hidden="1">"#"</definedName>
    <definedName name="FDC_63_12" hidden="1">"#"</definedName>
    <definedName name="FDC_63_13" hidden="1">"#"</definedName>
    <definedName name="FDC_63_14" hidden="1">"#"</definedName>
    <definedName name="FDC_63_2" hidden="1">"#"</definedName>
    <definedName name="FDC_63_3" hidden="1">"#"</definedName>
    <definedName name="FDC_63_4" hidden="1">"#"</definedName>
    <definedName name="FDC_63_5" hidden="1">"#"</definedName>
    <definedName name="FDC_63_6" hidden="1">"#"</definedName>
    <definedName name="FDC_63_7" hidden="1">"#"</definedName>
    <definedName name="FDC_63_8" hidden="1">"#"</definedName>
    <definedName name="FDC_63_9" hidden="1">"#"</definedName>
    <definedName name="FDC_64_0" hidden="1">"#"</definedName>
    <definedName name="FDC_64_1" hidden="1">"#"</definedName>
    <definedName name="FDC_64_10" hidden="1">"#"</definedName>
    <definedName name="FDC_64_11" hidden="1">"#"</definedName>
    <definedName name="FDC_64_12" hidden="1">"#"</definedName>
    <definedName name="FDC_64_13" hidden="1">"#"</definedName>
    <definedName name="FDC_64_14" hidden="1">"#"</definedName>
    <definedName name="FDC_64_2" hidden="1">"#"</definedName>
    <definedName name="FDC_64_3" hidden="1">"#"</definedName>
    <definedName name="FDC_64_4" hidden="1">"#"</definedName>
    <definedName name="FDC_64_5" hidden="1">"#"</definedName>
    <definedName name="FDC_64_6" hidden="1">"#"</definedName>
    <definedName name="FDC_64_7" hidden="1">"#"</definedName>
    <definedName name="FDC_64_8" hidden="1">"#"</definedName>
    <definedName name="FDC_64_9" hidden="1">"#"</definedName>
    <definedName name="FDC_65_0" hidden="1">"#"</definedName>
    <definedName name="FDC_65_1" hidden="1">"#"</definedName>
    <definedName name="FDC_65_10" hidden="1">"#"</definedName>
    <definedName name="FDC_65_11" hidden="1">"#"</definedName>
    <definedName name="FDC_65_12" hidden="1">"#"</definedName>
    <definedName name="FDC_65_13" hidden="1">"#"</definedName>
    <definedName name="FDC_65_14" hidden="1">"#"</definedName>
    <definedName name="FDC_65_2" hidden="1">"#"</definedName>
    <definedName name="FDC_65_3" hidden="1">"#"</definedName>
    <definedName name="FDC_65_4" hidden="1">"#"</definedName>
    <definedName name="FDC_65_5" hidden="1">"#"</definedName>
    <definedName name="FDC_65_6" hidden="1">"#"</definedName>
    <definedName name="FDC_65_7" hidden="1">"#"</definedName>
    <definedName name="FDC_65_8" hidden="1">"#"</definedName>
    <definedName name="FDC_65_9" hidden="1">"#"</definedName>
    <definedName name="FDC_66_0" hidden="1">"#"</definedName>
    <definedName name="FDC_66_1" hidden="1">"#"</definedName>
    <definedName name="FDC_66_10" hidden="1">"#"</definedName>
    <definedName name="FDC_66_11" hidden="1">"#"</definedName>
    <definedName name="FDC_66_12" hidden="1">"#"</definedName>
    <definedName name="FDC_66_13" hidden="1">"#"</definedName>
    <definedName name="FDC_66_14" hidden="1">"#"</definedName>
    <definedName name="FDC_66_2" hidden="1">"#"</definedName>
    <definedName name="FDC_66_3" hidden="1">"#"</definedName>
    <definedName name="FDC_66_4" hidden="1">"#"</definedName>
    <definedName name="FDC_66_5" hidden="1">"#"</definedName>
    <definedName name="FDC_66_6" hidden="1">"#"</definedName>
    <definedName name="FDC_66_7" hidden="1">"#"</definedName>
    <definedName name="FDC_66_8" hidden="1">"#"</definedName>
    <definedName name="FDC_66_9" hidden="1">"#"</definedName>
    <definedName name="FDC_67_0" hidden="1">"#"</definedName>
    <definedName name="FDC_67_1" hidden="1">"#"</definedName>
    <definedName name="FDC_67_10" hidden="1">"#"</definedName>
    <definedName name="FDC_67_11" hidden="1">"#"</definedName>
    <definedName name="FDC_67_12" hidden="1">"#"</definedName>
    <definedName name="FDC_67_13" hidden="1">"#"</definedName>
    <definedName name="FDC_67_14" hidden="1">"#"</definedName>
    <definedName name="FDC_67_2" hidden="1">"#"</definedName>
    <definedName name="FDC_67_3" hidden="1">"#"</definedName>
    <definedName name="FDC_67_4" hidden="1">"#"</definedName>
    <definedName name="FDC_67_5" hidden="1">"#"</definedName>
    <definedName name="FDC_67_6" hidden="1">"#"</definedName>
    <definedName name="FDC_67_7" hidden="1">"#"</definedName>
    <definedName name="FDC_67_8" hidden="1">"#"</definedName>
    <definedName name="FDC_67_9" hidden="1">"#"</definedName>
    <definedName name="FDC_68_0" hidden="1">"#"</definedName>
    <definedName name="FDC_68_1" hidden="1">"#"</definedName>
    <definedName name="FDC_68_10" hidden="1">"#"</definedName>
    <definedName name="FDC_68_11" hidden="1">"#"</definedName>
    <definedName name="FDC_68_12" hidden="1">"#"</definedName>
    <definedName name="FDC_68_13" hidden="1">"#"</definedName>
    <definedName name="FDC_68_14" hidden="1">"#"</definedName>
    <definedName name="FDC_68_2" hidden="1">"#"</definedName>
    <definedName name="FDC_68_3" hidden="1">"#"</definedName>
    <definedName name="FDC_68_4" hidden="1">"#"</definedName>
    <definedName name="FDC_68_5" hidden="1">"#"</definedName>
    <definedName name="FDC_68_6" hidden="1">"#"</definedName>
    <definedName name="FDC_68_7" hidden="1">"#"</definedName>
    <definedName name="FDC_68_8" hidden="1">"#"</definedName>
    <definedName name="FDC_68_9" hidden="1">"#"</definedName>
    <definedName name="FDC_69_0" hidden="1">"#"</definedName>
    <definedName name="FDC_69_1" hidden="1">"#"</definedName>
    <definedName name="FDC_69_10" hidden="1">"#"</definedName>
    <definedName name="FDC_69_11" hidden="1">"#"</definedName>
    <definedName name="FDC_69_12" hidden="1">"#"</definedName>
    <definedName name="FDC_69_13" hidden="1">"#"</definedName>
    <definedName name="FDC_69_14" hidden="1">"#"</definedName>
    <definedName name="FDC_69_2" hidden="1">"#"</definedName>
    <definedName name="FDC_69_3" hidden="1">"#"</definedName>
    <definedName name="FDC_69_4" hidden="1">"#"</definedName>
    <definedName name="FDC_69_5" hidden="1">"#"</definedName>
    <definedName name="FDC_69_6" hidden="1">"#"</definedName>
    <definedName name="FDC_69_7" hidden="1">"#"</definedName>
    <definedName name="FDC_69_8" hidden="1">"#"</definedName>
    <definedName name="FDC_69_9" hidden="1">"#"</definedName>
    <definedName name="FDC_7_0" hidden="1">"#"</definedName>
    <definedName name="FDC_70_0" hidden="1">"#"</definedName>
    <definedName name="FDC_70_1" hidden="1">"#"</definedName>
    <definedName name="FDC_70_10" hidden="1">"#"</definedName>
    <definedName name="FDC_70_11" hidden="1">"#"</definedName>
    <definedName name="FDC_70_12" hidden="1">"#"</definedName>
    <definedName name="FDC_70_13" hidden="1">"#"</definedName>
    <definedName name="FDC_70_14" hidden="1">"#"</definedName>
    <definedName name="FDC_70_2" hidden="1">"#"</definedName>
    <definedName name="FDC_70_3" hidden="1">"#"</definedName>
    <definedName name="FDC_70_4" hidden="1">"#"</definedName>
    <definedName name="FDC_70_5" hidden="1">"#"</definedName>
    <definedName name="FDC_70_6" hidden="1">"#"</definedName>
    <definedName name="FDC_70_7" hidden="1">"#"</definedName>
    <definedName name="FDC_70_8" hidden="1">"#"</definedName>
    <definedName name="FDC_70_9" hidden="1">"#"</definedName>
    <definedName name="FDC_71_0" hidden="1">"#"</definedName>
    <definedName name="FDC_71_1" hidden="1">"#"</definedName>
    <definedName name="FDC_71_10" hidden="1">"#"</definedName>
    <definedName name="FDC_71_11" hidden="1">"#"</definedName>
    <definedName name="FDC_71_12" hidden="1">"#"</definedName>
    <definedName name="FDC_71_13" hidden="1">"#"</definedName>
    <definedName name="FDC_71_14" hidden="1">"#"</definedName>
    <definedName name="FDC_71_2" hidden="1">"#"</definedName>
    <definedName name="FDC_71_3" hidden="1">"#"</definedName>
    <definedName name="FDC_71_4" hidden="1">"#"</definedName>
    <definedName name="FDC_71_5" hidden="1">"#"</definedName>
    <definedName name="FDC_71_6" hidden="1">"#"</definedName>
    <definedName name="FDC_71_7" hidden="1">"#"</definedName>
    <definedName name="FDC_71_8" hidden="1">"#"</definedName>
    <definedName name="FDC_71_9" hidden="1">"#"</definedName>
    <definedName name="FDC_72_0" hidden="1">"#"</definedName>
    <definedName name="FDC_72_1" hidden="1">"#"</definedName>
    <definedName name="FDC_72_10" hidden="1">"#"</definedName>
    <definedName name="FDC_72_11" hidden="1">"#"</definedName>
    <definedName name="FDC_72_12" hidden="1">"#"</definedName>
    <definedName name="FDC_72_13" hidden="1">"#"</definedName>
    <definedName name="FDC_72_14" hidden="1">"#"</definedName>
    <definedName name="FDC_72_2" hidden="1">"#"</definedName>
    <definedName name="FDC_72_3" hidden="1">"#"</definedName>
    <definedName name="FDC_72_4" hidden="1">"#"</definedName>
    <definedName name="FDC_72_5" hidden="1">"#"</definedName>
    <definedName name="FDC_72_6" hidden="1">"#"</definedName>
    <definedName name="FDC_72_7" hidden="1">"#"</definedName>
    <definedName name="FDC_72_8" hidden="1">"#"</definedName>
    <definedName name="FDC_72_9" hidden="1">"#"</definedName>
    <definedName name="FDC_73_0" hidden="1">"#"</definedName>
    <definedName name="FDC_73_1" hidden="1">"#"</definedName>
    <definedName name="FDC_73_10" hidden="1">"#"</definedName>
    <definedName name="FDC_73_11" hidden="1">"#"</definedName>
    <definedName name="FDC_73_12" hidden="1">"#"</definedName>
    <definedName name="FDC_73_13" hidden="1">"#"</definedName>
    <definedName name="FDC_73_14" hidden="1">"#"</definedName>
    <definedName name="FDC_73_2" hidden="1">"#"</definedName>
    <definedName name="FDC_73_3" hidden="1">"#"</definedName>
    <definedName name="FDC_73_4" hidden="1">"#"</definedName>
    <definedName name="FDC_73_5" hidden="1">"#"</definedName>
    <definedName name="FDC_73_6" hidden="1">"#"</definedName>
    <definedName name="FDC_73_7" hidden="1">"#"</definedName>
    <definedName name="FDC_73_8" hidden="1">"#"</definedName>
    <definedName name="FDC_73_9" hidden="1">"#"</definedName>
    <definedName name="FDC_74_0" hidden="1">"#"</definedName>
    <definedName name="FDC_74_1" hidden="1">"#"</definedName>
    <definedName name="FDC_74_10" hidden="1">"#"</definedName>
    <definedName name="FDC_74_11" hidden="1">"#"</definedName>
    <definedName name="FDC_74_12" hidden="1">"#"</definedName>
    <definedName name="FDC_74_13" hidden="1">"#"</definedName>
    <definedName name="FDC_74_14" hidden="1">"#"</definedName>
    <definedName name="FDC_74_2" hidden="1">"#"</definedName>
    <definedName name="FDC_74_3" hidden="1">"#"</definedName>
    <definedName name="FDC_74_4" hidden="1">"#"</definedName>
    <definedName name="FDC_74_5" hidden="1">"#"</definedName>
    <definedName name="FDC_74_6" hidden="1">"#"</definedName>
    <definedName name="FDC_74_7" hidden="1">"#"</definedName>
    <definedName name="FDC_74_8" hidden="1">"#"</definedName>
    <definedName name="FDC_74_9" hidden="1">"#"</definedName>
    <definedName name="FDC_75_0" hidden="1">"#"</definedName>
    <definedName name="FDC_75_1" hidden="1">"#"</definedName>
    <definedName name="FDC_75_10" hidden="1">"#"</definedName>
    <definedName name="FDC_75_11" hidden="1">"#"</definedName>
    <definedName name="FDC_75_12" hidden="1">"#"</definedName>
    <definedName name="FDC_75_13" hidden="1">"#"</definedName>
    <definedName name="FDC_75_14" hidden="1">"#"</definedName>
    <definedName name="FDC_75_2" hidden="1">"#"</definedName>
    <definedName name="FDC_75_3" hidden="1">"#"</definedName>
    <definedName name="FDC_75_4" hidden="1">"#"</definedName>
    <definedName name="FDC_75_5" hidden="1">"#"</definedName>
    <definedName name="FDC_75_6" hidden="1">"#"</definedName>
    <definedName name="FDC_75_7" hidden="1">"#"</definedName>
    <definedName name="FDC_75_8" hidden="1">"#"</definedName>
    <definedName name="FDC_75_9" hidden="1">"#"</definedName>
    <definedName name="FDC_76_0" hidden="1">"#"</definedName>
    <definedName name="FDC_76_1" hidden="1">"#"</definedName>
    <definedName name="FDC_76_10" hidden="1">"#"</definedName>
    <definedName name="FDC_76_11" hidden="1">"#"</definedName>
    <definedName name="FDC_76_12" hidden="1">"#"</definedName>
    <definedName name="FDC_76_13" hidden="1">"#"</definedName>
    <definedName name="FDC_76_14" hidden="1">"#"</definedName>
    <definedName name="FDC_76_2" hidden="1">"#"</definedName>
    <definedName name="FDC_76_3" hidden="1">"#"</definedName>
    <definedName name="FDC_76_4" hidden="1">"#"</definedName>
    <definedName name="FDC_76_5" hidden="1">"#"</definedName>
    <definedName name="FDC_76_6" hidden="1">"#"</definedName>
    <definedName name="FDC_76_7" hidden="1">"#"</definedName>
    <definedName name="FDC_76_8" hidden="1">"#"</definedName>
    <definedName name="FDC_76_9" hidden="1">"#"</definedName>
    <definedName name="FDC_77_0" hidden="1">"#"</definedName>
    <definedName name="FDC_77_1" hidden="1">"#"</definedName>
    <definedName name="FDC_77_10" hidden="1">"#"</definedName>
    <definedName name="FDC_77_11" hidden="1">"#"</definedName>
    <definedName name="FDC_77_12" hidden="1">"#"</definedName>
    <definedName name="FDC_77_13" hidden="1">"#"</definedName>
    <definedName name="FDC_77_14" hidden="1">"#"</definedName>
    <definedName name="FDC_77_2" hidden="1">"#"</definedName>
    <definedName name="FDC_77_3" hidden="1">"#"</definedName>
    <definedName name="FDC_77_4" hidden="1">"#"</definedName>
    <definedName name="FDC_77_5" hidden="1">"#"</definedName>
    <definedName name="FDC_77_6" hidden="1">"#"</definedName>
    <definedName name="FDC_77_7" hidden="1">"#"</definedName>
    <definedName name="FDC_77_8" hidden="1">"#"</definedName>
    <definedName name="FDC_77_9" hidden="1">"#"</definedName>
    <definedName name="FDC_78_0" hidden="1">"#"</definedName>
    <definedName name="FDC_78_1" hidden="1">"#"</definedName>
    <definedName name="FDC_78_10" hidden="1">"#"</definedName>
    <definedName name="FDC_78_11" hidden="1">"#"</definedName>
    <definedName name="FDC_78_12" hidden="1">"#"</definedName>
    <definedName name="FDC_78_13" hidden="1">"#"</definedName>
    <definedName name="FDC_78_14" hidden="1">"#"</definedName>
    <definedName name="FDC_78_2" hidden="1">"#"</definedName>
    <definedName name="FDC_78_3" hidden="1">"#"</definedName>
    <definedName name="FDC_78_4" hidden="1">"#"</definedName>
    <definedName name="FDC_78_5" hidden="1">"#"</definedName>
    <definedName name="FDC_78_6" hidden="1">"#"</definedName>
    <definedName name="FDC_78_7" hidden="1">"#"</definedName>
    <definedName name="FDC_78_8" hidden="1">"#"</definedName>
    <definedName name="FDC_78_9" hidden="1">"#"</definedName>
    <definedName name="FDC_79_0" hidden="1">"#"</definedName>
    <definedName name="FDC_79_1" hidden="1">"#"</definedName>
    <definedName name="FDC_79_10" hidden="1">"#"</definedName>
    <definedName name="FDC_79_11" hidden="1">"#"</definedName>
    <definedName name="FDC_79_12" hidden="1">"#"</definedName>
    <definedName name="FDC_79_13" hidden="1">"#"</definedName>
    <definedName name="FDC_79_14" hidden="1">"#"</definedName>
    <definedName name="FDC_79_2" hidden="1">"#"</definedName>
    <definedName name="FDC_79_3" hidden="1">"#"</definedName>
    <definedName name="FDC_79_4" hidden="1">"#"</definedName>
    <definedName name="FDC_79_5" hidden="1">"#"</definedName>
    <definedName name="FDC_79_6" hidden="1">"#"</definedName>
    <definedName name="FDC_79_7" hidden="1">"#"</definedName>
    <definedName name="FDC_79_8" hidden="1">"#"</definedName>
    <definedName name="FDC_79_9" hidden="1">"#"</definedName>
    <definedName name="FDC_8_0" hidden="1">"#"</definedName>
    <definedName name="FDC_80_0" hidden="1">"#"</definedName>
    <definedName name="FDC_80_1" hidden="1">"#"</definedName>
    <definedName name="FDC_80_10" hidden="1">"#"</definedName>
    <definedName name="FDC_80_11" hidden="1">"#"</definedName>
    <definedName name="FDC_80_12" hidden="1">"#"</definedName>
    <definedName name="FDC_80_13" hidden="1">"#"</definedName>
    <definedName name="FDC_80_14" hidden="1">"#"</definedName>
    <definedName name="FDC_80_2" hidden="1">"#"</definedName>
    <definedName name="FDC_80_3" hidden="1">"#"</definedName>
    <definedName name="FDC_80_4" hidden="1">"#"</definedName>
    <definedName name="FDC_80_5" hidden="1">"#"</definedName>
    <definedName name="FDC_80_6" hidden="1">"#"</definedName>
    <definedName name="FDC_80_7" hidden="1">"#"</definedName>
    <definedName name="FDC_80_8" hidden="1">"#"</definedName>
    <definedName name="FDC_80_9" hidden="1">"#"</definedName>
    <definedName name="FDC_81_0" hidden="1">"#"</definedName>
    <definedName name="FDC_81_1" hidden="1">"#"</definedName>
    <definedName name="FDC_81_10" hidden="1">"#"</definedName>
    <definedName name="FDC_81_11" hidden="1">"#"</definedName>
    <definedName name="FDC_81_12" hidden="1">"#"</definedName>
    <definedName name="FDC_81_13" hidden="1">"#"</definedName>
    <definedName name="FDC_81_14" hidden="1">"#"</definedName>
    <definedName name="FDC_81_2" hidden="1">"#"</definedName>
    <definedName name="FDC_81_3" hidden="1">"#"</definedName>
    <definedName name="FDC_81_4" hidden="1">"#"</definedName>
    <definedName name="FDC_81_5" hidden="1">"#"</definedName>
    <definedName name="FDC_81_6" hidden="1">"#"</definedName>
    <definedName name="FDC_81_7" hidden="1">"#"</definedName>
    <definedName name="FDC_81_8" hidden="1">"#"</definedName>
    <definedName name="FDC_81_9" hidden="1">"#"</definedName>
    <definedName name="FDC_82_0" hidden="1">"#"</definedName>
    <definedName name="FDC_82_1" hidden="1">"#"</definedName>
    <definedName name="FDC_82_10" hidden="1">"#"</definedName>
    <definedName name="FDC_82_11" hidden="1">"#"</definedName>
    <definedName name="FDC_82_12" hidden="1">"#"</definedName>
    <definedName name="FDC_82_13" hidden="1">"#"</definedName>
    <definedName name="FDC_82_14" hidden="1">"#"</definedName>
    <definedName name="FDC_82_2" hidden="1">"#"</definedName>
    <definedName name="FDC_82_3" hidden="1">"#"</definedName>
    <definedName name="FDC_82_4" hidden="1">"#"</definedName>
    <definedName name="FDC_82_5" hidden="1">"#"</definedName>
    <definedName name="FDC_82_6" hidden="1">"#"</definedName>
    <definedName name="FDC_82_7" hidden="1">"#"</definedName>
    <definedName name="FDC_82_8" hidden="1">"#"</definedName>
    <definedName name="FDC_82_9" hidden="1">"#"</definedName>
    <definedName name="FDC_83_0" hidden="1">"#"</definedName>
    <definedName name="FDC_83_1" hidden="1">"#"</definedName>
    <definedName name="FDC_83_10" hidden="1">"#"</definedName>
    <definedName name="FDC_83_11" hidden="1">"#"</definedName>
    <definedName name="FDC_83_12" hidden="1">"#"</definedName>
    <definedName name="FDC_83_13" hidden="1">"#"</definedName>
    <definedName name="FDC_83_14" hidden="1">"#"</definedName>
    <definedName name="FDC_83_2" hidden="1">"#"</definedName>
    <definedName name="FDC_83_3" hidden="1">"#"</definedName>
    <definedName name="FDC_83_4" hidden="1">"#"</definedName>
    <definedName name="FDC_83_5" hidden="1">"#"</definedName>
    <definedName name="FDC_83_6" hidden="1">"#"</definedName>
    <definedName name="FDC_83_7" hidden="1">"#"</definedName>
    <definedName name="FDC_83_8" hidden="1">"#"</definedName>
    <definedName name="FDC_83_9" hidden="1">"#"</definedName>
    <definedName name="FDC_84_0" hidden="1">"#"</definedName>
    <definedName name="FDC_84_1" hidden="1">"#"</definedName>
    <definedName name="FDC_84_10" hidden="1">"#"</definedName>
    <definedName name="FDC_84_11" hidden="1">"#"</definedName>
    <definedName name="FDC_84_12" hidden="1">"#"</definedName>
    <definedName name="FDC_84_13" hidden="1">"#"</definedName>
    <definedName name="FDC_84_14" hidden="1">"#"</definedName>
    <definedName name="FDC_84_2" hidden="1">"#"</definedName>
    <definedName name="FDC_84_3" hidden="1">"#"</definedName>
    <definedName name="FDC_84_4" hidden="1">"#"</definedName>
    <definedName name="FDC_84_5" hidden="1">"#"</definedName>
    <definedName name="FDC_84_6" hidden="1">"#"</definedName>
    <definedName name="FDC_84_7" hidden="1">"#"</definedName>
    <definedName name="FDC_84_8" hidden="1">"#"</definedName>
    <definedName name="FDC_84_9" hidden="1">"#"</definedName>
    <definedName name="FDC_85_0" hidden="1">"#"</definedName>
    <definedName name="FDC_85_1" hidden="1">"#"</definedName>
    <definedName name="FDC_85_10" hidden="1">"#"</definedName>
    <definedName name="FDC_85_11" hidden="1">"#"</definedName>
    <definedName name="FDC_85_12" hidden="1">"#"</definedName>
    <definedName name="FDC_85_13" hidden="1">"#"</definedName>
    <definedName name="FDC_85_14" hidden="1">"#"</definedName>
    <definedName name="FDC_85_2" hidden="1">"#"</definedName>
    <definedName name="FDC_85_3" hidden="1">"#"</definedName>
    <definedName name="FDC_85_4" hidden="1">"#"</definedName>
    <definedName name="FDC_85_5" hidden="1">"#"</definedName>
    <definedName name="FDC_85_6" hidden="1">"#"</definedName>
    <definedName name="FDC_85_7" hidden="1">"#"</definedName>
    <definedName name="FDC_85_8" hidden="1">"#"</definedName>
    <definedName name="FDC_85_9" hidden="1">"#"</definedName>
    <definedName name="FDC_86_0" hidden="1">"#"</definedName>
    <definedName name="FDC_86_1" hidden="1">"#"</definedName>
    <definedName name="FDC_86_10" hidden="1">"#"</definedName>
    <definedName name="FDC_86_11" hidden="1">"#"</definedName>
    <definedName name="FDC_86_12" hidden="1">"#"</definedName>
    <definedName name="FDC_86_13" hidden="1">"#"</definedName>
    <definedName name="FDC_86_14" hidden="1">"#"</definedName>
    <definedName name="FDC_86_2" hidden="1">"#"</definedName>
    <definedName name="FDC_86_3" hidden="1">"#"</definedName>
    <definedName name="FDC_86_4" hidden="1">"#"</definedName>
    <definedName name="FDC_86_5" hidden="1">"#"</definedName>
    <definedName name="FDC_86_6" hidden="1">"#"</definedName>
    <definedName name="FDC_86_7" hidden="1">"#"</definedName>
    <definedName name="FDC_86_8" hidden="1">"#"</definedName>
    <definedName name="FDC_86_9" hidden="1">"#"</definedName>
    <definedName name="FDC_87_0" hidden="1">"#"</definedName>
    <definedName name="FDC_87_1" hidden="1">"#"</definedName>
    <definedName name="FDC_87_10" hidden="1">"#"</definedName>
    <definedName name="FDC_87_11" hidden="1">"#"</definedName>
    <definedName name="FDC_87_12" hidden="1">"#"</definedName>
    <definedName name="FDC_87_13" hidden="1">"#"</definedName>
    <definedName name="FDC_87_14" hidden="1">"#"</definedName>
    <definedName name="FDC_87_2" hidden="1">"#"</definedName>
    <definedName name="FDC_87_3" hidden="1">"#"</definedName>
    <definedName name="FDC_87_4" hidden="1">"#"</definedName>
    <definedName name="FDC_87_5" hidden="1">"#"</definedName>
    <definedName name="FDC_87_6" hidden="1">"#"</definedName>
    <definedName name="FDC_87_7" hidden="1">"#"</definedName>
    <definedName name="FDC_87_8" hidden="1">"#"</definedName>
    <definedName name="FDC_87_9" hidden="1">"#"</definedName>
    <definedName name="FDC_88_0" hidden="1">"#"</definedName>
    <definedName name="FDC_88_1" hidden="1">"#"</definedName>
    <definedName name="FDC_88_10" hidden="1">"#"</definedName>
    <definedName name="FDC_88_11" hidden="1">"#"</definedName>
    <definedName name="FDC_88_12" hidden="1">"#"</definedName>
    <definedName name="FDC_88_13" hidden="1">"#"</definedName>
    <definedName name="FDC_88_14" hidden="1">"#"</definedName>
    <definedName name="FDC_88_2" hidden="1">"#"</definedName>
    <definedName name="FDC_88_3" hidden="1">"#"</definedName>
    <definedName name="FDC_88_4" hidden="1">"#"</definedName>
    <definedName name="FDC_88_5" hidden="1">"#"</definedName>
    <definedName name="FDC_88_6" hidden="1">"#"</definedName>
    <definedName name="FDC_88_7" hidden="1">"#"</definedName>
    <definedName name="FDC_88_8" hidden="1">"#"</definedName>
    <definedName name="FDC_88_9" hidden="1">"#"</definedName>
    <definedName name="FDC_89_0" hidden="1">"#"</definedName>
    <definedName name="FDC_89_1" hidden="1">"#"</definedName>
    <definedName name="FDC_89_10" hidden="1">"#"</definedName>
    <definedName name="FDC_89_11" hidden="1">"#"</definedName>
    <definedName name="FDC_89_12" hidden="1">"#"</definedName>
    <definedName name="FDC_89_13" hidden="1">"#"</definedName>
    <definedName name="FDC_89_14" hidden="1">"#"</definedName>
    <definedName name="FDC_89_2" hidden="1">"#"</definedName>
    <definedName name="FDC_89_3" hidden="1">"#"</definedName>
    <definedName name="FDC_89_4" hidden="1">"#"</definedName>
    <definedName name="FDC_89_5" hidden="1">"#"</definedName>
    <definedName name="FDC_89_6" hidden="1">"#"</definedName>
    <definedName name="FDC_89_7" hidden="1">"#"</definedName>
    <definedName name="FDC_89_8" hidden="1">"#"</definedName>
    <definedName name="FDC_89_9" hidden="1">"#"</definedName>
    <definedName name="FDC_9_0" hidden="1">"#"</definedName>
    <definedName name="FDC_90_0" hidden="1">"#"</definedName>
    <definedName name="FDC_90_1" hidden="1">"#"</definedName>
    <definedName name="FDC_90_10" hidden="1">"#"</definedName>
    <definedName name="FDC_90_11" hidden="1">"#"</definedName>
    <definedName name="FDC_90_12" hidden="1">"#"</definedName>
    <definedName name="FDC_90_13" hidden="1">"#"</definedName>
    <definedName name="FDC_90_14" hidden="1">"#"</definedName>
    <definedName name="FDC_90_2" hidden="1">"#"</definedName>
    <definedName name="FDC_90_3" hidden="1">"#"</definedName>
    <definedName name="FDC_90_4" hidden="1">"#"</definedName>
    <definedName name="FDC_90_5" hidden="1">"#"</definedName>
    <definedName name="FDC_90_6" hidden="1">"#"</definedName>
    <definedName name="FDC_90_7" hidden="1">"#"</definedName>
    <definedName name="FDC_90_8" hidden="1">"#"</definedName>
    <definedName name="FDC_90_9" hidden="1">"#"</definedName>
    <definedName name="FDC_91_0" hidden="1">"#"</definedName>
    <definedName name="FDC_91_1" hidden="1">"#"</definedName>
    <definedName name="FDC_91_10" hidden="1">"#"</definedName>
    <definedName name="FDC_91_11" hidden="1">"#"</definedName>
    <definedName name="FDC_91_12" hidden="1">"#"</definedName>
    <definedName name="FDC_91_13" hidden="1">"#"</definedName>
    <definedName name="FDC_91_14" hidden="1">"#"</definedName>
    <definedName name="FDC_91_2" hidden="1">"#"</definedName>
    <definedName name="FDC_91_3" hidden="1">"#"</definedName>
    <definedName name="FDC_91_4" hidden="1">"#"</definedName>
    <definedName name="FDC_91_5" hidden="1">"#"</definedName>
    <definedName name="FDC_91_6" hidden="1">"#"</definedName>
    <definedName name="FDC_91_7" hidden="1">"#"</definedName>
    <definedName name="FDC_91_8" hidden="1">"#"</definedName>
    <definedName name="FDC_91_9" hidden="1">"#"</definedName>
    <definedName name="FDC_92_0" hidden="1">"#"</definedName>
    <definedName name="FDC_92_1" hidden="1">"#"</definedName>
    <definedName name="FDC_92_10" hidden="1">"#"</definedName>
    <definedName name="FDC_92_11" hidden="1">"#"</definedName>
    <definedName name="FDC_92_12" hidden="1">"#"</definedName>
    <definedName name="FDC_92_13" hidden="1">"#"</definedName>
    <definedName name="FDC_92_14" hidden="1">"#"</definedName>
    <definedName name="FDC_92_2" hidden="1">"#"</definedName>
    <definedName name="FDC_92_3" hidden="1">"#"</definedName>
    <definedName name="FDC_92_4" hidden="1">"#"</definedName>
    <definedName name="FDC_92_5" hidden="1">"#"</definedName>
    <definedName name="FDC_92_6" hidden="1">"#"</definedName>
    <definedName name="FDC_92_7" hidden="1">"#"</definedName>
    <definedName name="FDC_92_8" hidden="1">"#"</definedName>
    <definedName name="FDC_92_9" hidden="1">"#"</definedName>
    <definedName name="FDC_93_0" hidden="1">"#"</definedName>
    <definedName name="FDC_93_1" hidden="1">"#"</definedName>
    <definedName name="FDC_93_10" hidden="1">"#"</definedName>
    <definedName name="FDC_93_11" hidden="1">"#"</definedName>
    <definedName name="FDC_93_12" hidden="1">"#"</definedName>
    <definedName name="FDC_93_13" hidden="1">"#"</definedName>
    <definedName name="FDC_93_14" hidden="1">"#"</definedName>
    <definedName name="FDC_93_2" hidden="1">"#"</definedName>
    <definedName name="FDC_93_3" hidden="1">"#"</definedName>
    <definedName name="FDC_93_4" hidden="1">"#"</definedName>
    <definedName name="FDC_93_5" hidden="1">"#"</definedName>
    <definedName name="FDC_93_6" hidden="1">"#"</definedName>
    <definedName name="FDC_93_7" hidden="1">"#"</definedName>
    <definedName name="FDC_93_8" hidden="1">"#"</definedName>
    <definedName name="FDC_93_9" hidden="1">"#"</definedName>
    <definedName name="FDC_94_0" hidden="1">"#"</definedName>
    <definedName name="FDC_94_1" hidden="1">"#"</definedName>
    <definedName name="FDC_94_10" hidden="1">"#"</definedName>
    <definedName name="FDC_94_11" hidden="1">"#"</definedName>
    <definedName name="FDC_94_12" hidden="1">"#"</definedName>
    <definedName name="FDC_94_13" hidden="1">"#"</definedName>
    <definedName name="FDC_94_14" hidden="1">"#"</definedName>
    <definedName name="FDC_94_2" hidden="1">"#"</definedName>
    <definedName name="FDC_94_3" hidden="1">"#"</definedName>
    <definedName name="FDC_94_4" hidden="1">"#"</definedName>
    <definedName name="FDC_94_5" hidden="1">"#"</definedName>
    <definedName name="FDC_94_6" hidden="1">"#"</definedName>
    <definedName name="FDC_94_7" hidden="1">"#"</definedName>
    <definedName name="FDC_94_8" hidden="1">"#"</definedName>
    <definedName name="FDC_94_9" hidden="1">"#"</definedName>
    <definedName name="FDC_95_0" hidden="1">"#"</definedName>
    <definedName name="FDC_95_1" hidden="1">"#"</definedName>
    <definedName name="FDC_95_10" hidden="1">"#"</definedName>
    <definedName name="FDC_95_11" hidden="1">"#"</definedName>
    <definedName name="FDC_95_12" hidden="1">"#"</definedName>
    <definedName name="FDC_95_13" hidden="1">"#"</definedName>
    <definedName name="FDC_95_14" hidden="1">"#"</definedName>
    <definedName name="FDC_95_2" hidden="1">"#"</definedName>
    <definedName name="FDC_95_3" hidden="1">"#"</definedName>
    <definedName name="FDC_95_4" hidden="1">"#"</definedName>
    <definedName name="FDC_95_5" hidden="1">"#"</definedName>
    <definedName name="FDC_95_6" hidden="1">"#"</definedName>
    <definedName name="FDC_95_7" hidden="1">"#"</definedName>
    <definedName name="FDC_95_8" hidden="1">"#"</definedName>
    <definedName name="FDC_95_9" hidden="1">"#"</definedName>
    <definedName name="FDC_96_0" hidden="1">"#"</definedName>
    <definedName name="FDC_96_1" hidden="1">"#"</definedName>
    <definedName name="FDC_96_10" hidden="1">"#"</definedName>
    <definedName name="FDC_96_11" hidden="1">"#"</definedName>
    <definedName name="FDC_96_12" hidden="1">"#"</definedName>
    <definedName name="FDC_96_13" hidden="1">"#"</definedName>
    <definedName name="FDC_96_14" hidden="1">"#"</definedName>
    <definedName name="FDC_96_2" hidden="1">"#"</definedName>
    <definedName name="FDC_96_3" hidden="1">"#"</definedName>
    <definedName name="FDC_96_4" hidden="1">"#"</definedName>
    <definedName name="FDC_96_5" hidden="1">"#"</definedName>
    <definedName name="FDC_96_6" hidden="1">"#"</definedName>
    <definedName name="FDC_96_7" hidden="1">"#"</definedName>
    <definedName name="FDC_96_8" hidden="1">"#"</definedName>
    <definedName name="FDC_96_9" hidden="1">"#"</definedName>
    <definedName name="FDC_97_0" hidden="1">"#"</definedName>
    <definedName name="FDC_97_1" hidden="1">"#"</definedName>
    <definedName name="FDC_97_10" hidden="1">"#"</definedName>
    <definedName name="FDC_97_11" hidden="1">"#"</definedName>
    <definedName name="FDC_97_12" hidden="1">"#"</definedName>
    <definedName name="FDC_97_13" hidden="1">"#"</definedName>
    <definedName name="FDC_97_14" hidden="1">"#"</definedName>
    <definedName name="FDC_97_2" hidden="1">"#"</definedName>
    <definedName name="FDC_97_3" hidden="1">"#"</definedName>
    <definedName name="FDC_97_4" hidden="1">"#"</definedName>
    <definedName name="FDC_97_5" hidden="1">"#"</definedName>
    <definedName name="FDC_97_6" hidden="1">"#"</definedName>
    <definedName name="FDC_97_7" hidden="1">"#"</definedName>
    <definedName name="FDC_97_8" hidden="1">"#"</definedName>
    <definedName name="FDC_97_9" hidden="1">"#"</definedName>
    <definedName name="FDC_98_0" hidden="1">"#"</definedName>
    <definedName name="FDC_98_1" hidden="1">"#"</definedName>
    <definedName name="FDC_98_10" hidden="1">"#"</definedName>
    <definedName name="FDC_98_11" hidden="1">"#"</definedName>
    <definedName name="FDC_98_12" hidden="1">"#"</definedName>
    <definedName name="FDC_98_13" hidden="1">"#"</definedName>
    <definedName name="FDC_98_14" hidden="1">"#"</definedName>
    <definedName name="FDC_98_2" hidden="1">"#"</definedName>
    <definedName name="FDC_98_3" hidden="1">"#"</definedName>
    <definedName name="FDC_98_4" hidden="1">"#"</definedName>
    <definedName name="FDC_98_5" hidden="1">"#"</definedName>
    <definedName name="FDC_98_6" hidden="1">"#"</definedName>
    <definedName name="FDC_98_7" hidden="1">"#"</definedName>
    <definedName name="FDC_98_8" hidden="1">"#"</definedName>
    <definedName name="FDC_98_9" hidden="1">"#"</definedName>
    <definedName name="FDC_99_0" hidden="1">"#"</definedName>
    <definedName name="FDC_99_1" hidden="1">"#"</definedName>
    <definedName name="FDC_99_10" hidden="1">"#"</definedName>
    <definedName name="FDC_99_11" hidden="1">"#"</definedName>
    <definedName name="FDC_99_12" hidden="1">"#"</definedName>
    <definedName name="FDC_99_13" hidden="1">"#"</definedName>
    <definedName name="FDC_99_14" hidden="1">"#"</definedName>
    <definedName name="FDC_99_2" hidden="1">"#"</definedName>
    <definedName name="FDC_99_3" hidden="1">"#"</definedName>
    <definedName name="FDC_99_4" hidden="1">"#"</definedName>
    <definedName name="FDC_99_5" hidden="1">"#"</definedName>
    <definedName name="FDC_99_6" hidden="1">"#"</definedName>
    <definedName name="FDC_99_7" hidden="1">"#"</definedName>
    <definedName name="FDC_99_8" hidden="1">"#"</definedName>
    <definedName name="FDC_99_9" hidden="1">"#"</definedName>
    <definedName name="FDD_0_0" hidden="1">"A30681"</definedName>
    <definedName name="FDD_0_1" hidden="1">"A31047"</definedName>
    <definedName name="FDD_0_10" hidden="1">"A34334"</definedName>
    <definedName name="FDD_0_11" hidden="1">"A34699"</definedName>
    <definedName name="FDD_0_12" hidden="1">"A35064"</definedName>
    <definedName name="FDD_0_13" hidden="1">"A35430"</definedName>
    <definedName name="FDD_0_14" hidden="1">"A35795"</definedName>
    <definedName name="FDD_0_2" hidden="1">"A31412"</definedName>
    <definedName name="FDD_0_3" hidden="1">"A31777"</definedName>
    <definedName name="FDD_0_4" hidden="1">"A32142"</definedName>
    <definedName name="FDD_0_5" hidden="1">"A32508"</definedName>
    <definedName name="FDD_0_6" hidden="1">"A32873"</definedName>
    <definedName name="FDD_0_7" hidden="1">"A33238"</definedName>
    <definedName name="FDD_0_8" hidden="1">"A33603"</definedName>
    <definedName name="FDD_0_9" hidden="1">"A33969"</definedName>
    <definedName name="FDD_1_0" hidden="1">"U25569"</definedName>
    <definedName name="FDD_10_0" hidden="1">"A25569"</definedName>
    <definedName name="FDD_100_0" hidden="1">"A25569"</definedName>
    <definedName name="FDD_100_1" hidden="1">"A31412"</definedName>
    <definedName name="FDD_100_10" hidden="1">"A34699"</definedName>
    <definedName name="FDD_100_11" hidden="1">"A35064"</definedName>
    <definedName name="FDD_100_12" hidden="1">"A35430"</definedName>
    <definedName name="FDD_100_13" hidden="1">"A35795"</definedName>
    <definedName name="FDD_100_2" hidden="1">"A31777"</definedName>
    <definedName name="FDD_100_3" hidden="1">"A32142"</definedName>
    <definedName name="FDD_100_4" hidden="1">"A32508"</definedName>
    <definedName name="FDD_100_5" hidden="1">"A32873"</definedName>
    <definedName name="FDD_100_6" hidden="1">"A33238"</definedName>
    <definedName name="FDD_100_7" hidden="1">"A33603"</definedName>
    <definedName name="FDD_100_8" hidden="1">"A33969"</definedName>
    <definedName name="FDD_100_9" hidden="1">"A34334"</definedName>
    <definedName name="FDD_101_0" hidden="1">"A25569"</definedName>
    <definedName name="FDD_101_1" hidden="1">"A31412"</definedName>
    <definedName name="FDD_101_10" hidden="1">"A34699"</definedName>
    <definedName name="FDD_101_11" hidden="1">"A35064"</definedName>
    <definedName name="FDD_101_12" hidden="1">"A35430"</definedName>
    <definedName name="FDD_101_13" hidden="1">"A35795"</definedName>
    <definedName name="FDD_101_2" hidden="1">"A31777"</definedName>
    <definedName name="FDD_101_3" hidden="1">"A32142"</definedName>
    <definedName name="FDD_101_4" hidden="1">"A32508"</definedName>
    <definedName name="FDD_101_5" hidden="1">"A32873"</definedName>
    <definedName name="FDD_101_6" hidden="1">"A33238"</definedName>
    <definedName name="FDD_101_7" hidden="1">"A33603"</definedName>
    <definedName name="FDD_101_8" hidden="1">"A33969"</definedName>
    <definedName name="FDD_101_9" hidden="1">"A34334"</definedName>
    <definedName name="FDD_102_0" hidden="1">"A25569"</definedName>
    <definedName name="FDD_102_1" hidden="1">"A31412"</definedName>
    <definedName name="FDD_102_10" hidden="1">"A34699"</definedName>
    <definedName name="FDD_102_11" hidden="1">"A35064"</definedName>
    <definedName name="FDD_102_12" hidden="1">"A35430"</definedName>
    <definedName name="FDD_102_13" hidden="1">"A35795"</definedName>
    <definedName name="FDD_102_2" hidden="1">"A31777"</definedName>
    <definedName name="FDD_102_3" hidden="1">"A32142"</definedName>
    <definedName name="FDD_102_4" hidden="1">"A32508"</definedName>
    <definedName name="FDD_102_5" hidden="1">"A32873"</definedName>
    <definedName name="FDD_102_6" hidden="1">"A33238"</definedName>
    <definedName name="FDD_102_7" hidden="1">"A33603"</definedName>
    <definedName name="FDD_102_8" hidden="1">"A33969"</definedName>
    <definedName name="FDD_102_9" hidden="1">"A34334"</definedName>
    <definedName name="FDD_103_0" hidden="1">"A25569"</definedName>
    <definedName name="FDD_104_0" hidden="1">"A25569"</definedName>
    <definedName name="FDD_105_0" hidden="1">"A25569"</definedName>
    <definedName name="FDD_106_0" hidden="1">"A25569"</definedName>
    <definedName name="FDD_107_0" hidden="1">"A25569"</definedName>
    <definedName name="FDD_108_0" hidden="1">"A25569"</definedName>
    <definedName name="FDD_109_0" hidden="1">"A25569"</definedName>
    <definedName name="FDD_11_0" hidden="1">"A25569"</definedName>
    <definedName name="FDD_110_0" hidden="1">"A25569"</definedName>
    <definedName name="FDD_111_0" hidden="1">"A25569"</definedName>
    <definedName name="FDD_112_0" hidden="1">"A25569"</definedName>
    <definedName name="FDD_113_0" hidden="1">"A25569"</definedName>
    <definedName name="FDD_114_0" hidden="1">"A25569"</definedName>
    <definedName name="FDD_115_0" hidden="1">"A25569"</definedName>
    <definedName name="FDD_116_0" hidden="1">"A25569"</definedName>
    <definedName name="FDD_117_0" hidden="1">"A30681"</definedName>
    <definedName name="FDD_117_1" hidden="1">"A31047"</definedName>
    <definedName name="FDD_117_10" hidden="1">"A34334"</definedName>
    <definedName name="FDD_117_11" hidden="1">"A34699"</definedName>
    <definedName name="FDD_117_12" hidden="1">"A35064"</definedName>
    <definedName name="FDD_117_13" hidden="1">"A35430"</definedName>
    <definedName name="FDD_117_14" hidden="1">"A35795"</definedName>
    <definedName name="FDD_117_2" hidden="1">"A31412"</definedName>
    <definedName name="FDD_117_3" hidden="1">"A31777"</definedName>
    <definedName name="FDD_117_4" hidden="1">"A32142"</definedName>
    <definedName name="FDD_117_5" hidden="1">"A32508"</definedName>
    <definedName name="FDD_117_6" hidden="1">"A32873"</definedName>
    <definedName name="FDD_117_7" hidden="1">"A33238"</definedName>
    <definedName name="FDD_117_8" hidden="1">"A33603"</definedName>
    <definedName name="FDD_117_9" hidden="1">"A33969"</definedName>
    <definedName name="FDD_118_0" hidden="1">"A30681"</definedName>
    <definedName name="FDD_118_1" hidden="1">"A31047"</definedName>
    <definedName name="FDD_118_10" hidden="1">"A34334"</definedName>
    <definedName name="FDD_118_11" hidden="1">"A34699"</definedName>
    <definedName name="FDD_118_12" hidden="1">"A35064"</definedName>
    <definedName name="FDD_118_13" hidden="1">"A35430"</definedName>
    <definedName name="FDD_118_14" hidden="1">"A35795"</definedName>
    <definedName name="FDD_118_2" hidden="1">"A31412"</definedName>
    <definedName name="FDD_118_3" hidden="1">"A31777"</definedName>
    <definedName name="FDD_118_4" hidden="1">"A32142"</definedName>
    <definedName name="FDD_118_5" hidden="1">"A32508"</definedName>
    <definedName name="FDD_118_6" hidden="1">"A32873"</definedName>
    <definedName name="FDD_118_7" hidden="1">"A33238"</definedName>
    <definedName name="FDD_118_8" hidden="1">"A33603"</definedName>
    <definedName name="FDD_118_9" hidden="1">"A33969"</definedName>
    <definedName name="FDD_119_0" hidden="1">"A30681"</definedName>
    <definedName name="FDD_119_1" hidden="1">"A31047"</definedName>
    <definedName name="FDD_119_10" hidden="1">"A34334"</definedName>
    <definedName name="FDD_119_11" hidden="1">"A34699"</definedName>
    <definedName name="FDD_119_12" hidden="1">"A35064"</definedName>
    <definedName name="FDD_119_13" hidden="1">"A35430"</definedName>
    <definedName name="FDD_119_14" hidden="1">"A35795"</definedName>
    <definedName name="FDD_119_2" hidden="1">"A31412"</definedName>
    <definedName name="FDD_119_3" hidden="1">"A31777"</definedName>
    <definedName name="FDD_119_4" hidden="1">"A32142"</definedName>
    <definedName name="FDD_119_5" hidden="1">"A32508"</definedName>
    <definedName name="FDD_119_6" hidden="1">"A32873"</definedName>
    <definedName name="FDD_119_7" hidden="1">"A33238"</definedName>
    <definedName name="FDD_119_8" hidden="1">"A33603"</definedName>
    <definedName name="FDD_119_9" hidden="1">"A33969"</definedName>
    <definedName name="FDD_12_0" hidden="1">"A25569"</definedName>
    <definedName name="FDD_120_0" hidden="1">"A30681"</definedName>
    <definedName name="FDD_120_1" hidden="1">"A31047"</definedName>
    <definedName name="FDD_120_10" hidden="1">"A34334"</definedName>
    <definedName name="FDD_120_11" hidden="1">"A34699"</definedName>
    <definedName name="FDD_120_12" hidden="1">"A35064"</definedName>
    <definedName name="FDD_120_13" hidden="1">"A35430"</definedName>
    <definedName name="FDD_120_14" hidden="1">"A35795"</definedName>
    <definedName name="FDD_120_2" hidden="1">"A31412"</definedName>
    <definedName name="FDD_120_3" hidden="1">"A31777"</definedName>
    <definedName name="FDD_120_4" hidden="1">"A32142"</definedName>
    <definedName name="FDD_120_5" hidden="1">"A32508"</definedName>
    <definedName name="FDD_120_6" hidden="1">"A32873"</definedName>
    <definedName name="FDD_120_7" hidden="1">"A33238"</definedName>
    <definedName name="FDD_120_8" hidden="1">"A33603"</definedName>
    <definedName name="FDD_120_9" hidden="1">"A33969"</definedName>
    <definedName name="FDD_121_0" hidden="1">"A30681"</definedName>
    <definedName name="FDD_121_1" hidden="1">"A31047"</definedName>
    <definedName name="FDD_121_10" hidden="1">"A34334"</definedName>
    <definedName name="FDD_121_11" hidden="1">"A34699"</definedName>
    <definedName name="FDD_121_12" hidden="1">"A35064"</definedName>
    <definedName name="FDD_121_13" hidden="1">"A35430"</definedName>
    <definedName name="FDD_121_14" hidden="1">"A35795"</definedName>
    <definedName name="FDD_121_2" hidden="1">"A31412"</definedName>
    <definedName name="FDD_121_3" hidden="1">"A31777"</definedName>
    <definedName name="FDD_121_4" hidden="1">"A32142"</definedName>
    <definedName name="FDD_121_5" hidden="1">"A32508"</definedName>
    <definedName name="FDD_121_6" hidden="1">"A32873"</definedName>
    <definedName name="FDD_121_7" hidden="1">"A33238"</definedName>
    <definedName name="FDD_121_8" hidden="1">"A33603"</definedName>
    <definedName name="FDD_121_9" hidden="1">"A33969"</definedName>
    <definedName name="FDD_122_0" hidden="1">"A30681"</definedName>
    <definedName name="FDD_122_1" hidden="1">"A31047"</definedName>
    <definedName name="FDD_122_10" hidden="1">"A34334"</definedName>
    <definedName name="FDD_122_11" hidden="1">"A34699"</definedName>
    <definedName name="FDD_122_12" hidden="1">"A35064"</definedName>
    <definedName name="FDD_122_13" hidden="1">"A35430"</definedName>
    <definedName name="FDD_122_14" hidden="1">"A35795"</definedName>
    <definedName name="FDD_122_2" hidden="1">"A31412"</definedName>
    <definedName name="FDD_122_3" hidden="1">"A31777"</definedName>
    <definedName name="FDD_122_4" hidden="1">"A32142"</definedName>
    <definedName name="FDD_122_5" hidden="1">"A32508"</definedName>
    <definedName name="FDD_122_6" hidden="1">"A32873"</definedName>
    <definedName name="FDD_122_7" hidden="1">"A33238"</definedName>
    <definedName name="FDD_122_8" hidden="1">"A33603"</definedName>
    <definedName name="FDD_122_9" hidden="1">"A33969"</definedName>
    <definedName name="FDD_123_0" hidden="1">"A30681"</definedName>
    <definedName name="FDD_123_1" hidden="1">"A31047"</definedName>
    <definedName name="FDD_123_10" hidden="1">"A34334"</definedName>
    <definedName name="FDD_123_11" hidden="1">"A34699"</definedName>
    <definedName name="FDD_123_12" hidden="1">"A35064"</definedName>
    <definedName name="FDD_123_13" hidden="1">"A35430"</definedName>
    <definedName name="FDD_123_14" hidden="1">"A35795"</definedName>
    <definedName name="FDD_123_2" hidden="1">"A31412"</definedName>
    <definedName name="FDD_123_3" hidden="1">"A31777"</definedName>
    <definedName name="FDD_123_4" hidden="1">"A32142"</definedName>
    <definedName name="FDD_123_5" hidden="1">"A32508"</definedName>
    <definedName name="FDD_123_6" hidden="1">"A32873"</definedName>
    <definedName name="FDD_123_7" hidden="1">"A33238"</definedName>
    <definedName name="FDD_123_8" hidden="1">"A33603"</definedName>
    <definedName name="FDD_123_9" hidden="1">"A33969"</definedName>
    <definedName name="FDD_124_0" hidden="1">"A30681"</definedName>
    <definedName name="FDD_124_1" hidden="1">"A31047"</definedName>
    <definedName name="FDD_124_10" hidden="1">"A34334"</definedName>
    <definedName name="FDD_124_11" hidden="1">"A34699"</definedName>
    <definedName name="FDD_124_12" hidden="1">"A35064"</definedName>
    <definedName name="FDD_124_13" hidden="1">"A35430"</definedName>
    <definedName name="FDD_124_14" hidden="1">"A35795"</definedName>
    <definedName name="FDD_124_2" hidden="1">"A31412"</definedName>
    <definedName name="FDD_124_3" hidden="1">"A31777"</definedName>
    <definedName name="FDD_124_4" hidden="1">"A32142"</definedName>
    <definedName name="FDD_124_5" hidden="1">"A32508"</definedName>
    <definedName name="FDD_124_6" hidden="1">"A32873"</definedName>
    <definedName name="FDD_124_7" hidden="1">"A33238"</definedName>
    <definedName name="FDD_124_8" hidden="1">"A33603"</definedName>
    <definedName name="FDD_124_9" hidden="1">"A33969"</definedName>
    <definedName name="FDD_125_0" hidden="1">"A30681"</definedName>
    <definedName name="FDD_125_1" hidden="1">"A31047"</definedName>
    <definedName name="FDD_125_10" hidden="1">"A34334"</definedName>
    <definedName name="FDD_125_11" hidden="1">"A34699"</definedName>
    <definedName name="FDD_125_12" hidden="1">"A35064"</definedName>
    <definedName name="FDD_125_13" hidden="1">"A35430"</definedName>
    <definedName name="FDD_125_14" hidden="1">"A35795"</definedName>
    <definedName name="FDD_125_2" hidden="1">"A31412"</definedName>
    <definedName name="FDD_125_3" hidden="1">"A31777"</definedName>
    <definedName name="FDD_125_4" hidden="1">"A32142"</definedName>
    <definedName name="FDD_125_5" hidden="1">"A32508"</definedName>
    <definedName name="FDD_125_6" hidden="1">"A32873"</definedName>
    <definedName name="FDD_125_7" hidden="1">"A33238"</definedName>
    <definedName name="FDD_125_8" hidden="1">"A33603"</definedName>
    <definedName name="FDD_125_9" hidden="1">"A33969"</definedName>
    <definedName name="FDD_126_0" hidden="1">"A30681"</definedName>
    <definedName name="FDD_126_1" hidden="1">"A31047"</definedName>
    <definedName name="FDD_126_10" hidden="1">"A34334"</definedName>
    <definedName name="FDD_126_11" hidden="1">"A34699"</definedName>
    <definedName name="FDD_126_12" hidden="1">"A35064"</definedName>
    <definedName name="FDD_126_13" hidden="1">"A35430"</definedName>
    <definedName name="FDD_126_14" hidden="1">"A35795"</definedName>
    <definedName name="FDD_126_2" hidden="1">"A31412"</definedName>
    <definedName name="FDD_126_3" hidden="1">"A31777"</definedName>
    <definedName name="FDD_126_4" hidden="1">"A32142"</definedName>
    <definedName name="FDD_126_5" hidden="1">"A32508"</definedName>
    <definedName name="FDD_126_6" hidden="1">"A32873"</definedName>
    <definedName name="FDD_126_7" hidden="1">"A33238"</definedName>
    <definedName name="FDD_126_8" hidden="1">"A33603"</definedName>
    <definedName name="FDD_126_9" hidden="1">"A33969"</definedName>
    <definedName name="FDD_127_0" hidden="1">"A30681"</definedName>
    <definedName name="FDD_127_1" hidden="1">"A31047"</definedName>
    <definedName name="FDD_127_10" hidden="1">"A34334"</definedName>
    <definedName name="FDD_127_11" hidden="1">"A34699"</definedName>
    <definedName name="FDD_127_12" hidden="1">"A35064"</definedName>
    <definedName name="FDD_127_13" hidden="1">"A35430"</definedName>
    <definedName name="FDD_127_14" hidden="1">"A35795"</definedName>
    <definedName name="FDD_127_2" hidden="1">"A31412"</definedName>
    <definedName name="FDD_127_3" hidden="1">"A31777"</definedName>
    <definedName name="FDD_127_4" hidden="1">"A32142"</definedName>
    <definedName name="FDD_127_5" hidden="1">"A32508"</definedName>
    <definedName name="FDD_127_6" hidden="1">"A32873"</definedName>
    <definedName name="FDD_127_7" hidden="1">"A33238"</definedName>
    <definedName name="FDD_127_8" hidden="1">"A33603"</definedName>
    <definedName name="FDD_127_9" hidden="1">"A33969"</definedName>
    <definedName name="FDD_128_0" hidden="1">"A30681"</definedName>
    <definedName name="FDD_128_1" hidden="1">"A31047"</definedName>
    <definedName name="FDD_128_10" hidden="1">"A34334"</definedName>
    <definedName name="FDD_128_11" hidden="1">"A34699"</definedName>
    <definedName name="FDD_128_12" hidden="1">"A35064"</definedName>
    <definedName name="FDD_128_13" hidden="1">"A35430"</definedName>
    <definedName name="FDD_128_14" hidden="1">"A35795"</definedName>
    <definedName name="FDD_128_2" hidden="1">"A31412"</definedName>
    <definedName name="FDD_128_3" hidden="1">"A31777"</definedName>
    <definedName name="FDD_128_4" hidden="1">"A32142"</definedName>
    <definedName name="FDD_128_5" hidden="1">"A32508"</definedName>
    <definedName name="FDD_128_6" hidden="1">"A32873"</definedName>
    <definedName name="FDD_128_7" hidden="1">"A33238"</definedName>
    <definedName name="FDD_128_8" hidden="1">"A33603"</definedName>
    <definedName name="FDD_128_9" hidden="1">"A33969"</definedName>
    <definedName name="FDD_129_0" hidden="1">"A30681"</definedName>
    <definedName name="FDD_129_1" hidden="1">"A31047"</definedName>
    <definedName name="FDD_129_10" hidden="1">"A34334"</definedName>
    <definedName name="FDD_129_11" hidden="1">"A34699"</definedName>
    <definedName name="FDD_129_12" hidden="1">"A35064"</definedName>
    <definedName name="FDD_129_13" hidden="1">"A35430"</definedName>
    <definedName name="FDD_129_14" hidden="1">"A35795"</definedName>
    <definedName name="FDD_129_2" hidden="1">"A31412"</definedName>
    <definedName name="FDD_129_3" hidden="1">"A31777"</definedName>
    <definedName name="FDD_129_4" hidden="1">"A32142"</definedName>
    <definedName name="FDD_129_5" hidden="1">"A32508"</definedName>
    <definedName name="FDD_129_6" hidden="1">"A32873"</definedName>
    <definedName name="FDD_129_7" hidden="1">"A33238"</definedName>
    <definedName name="FDD_129_8" hidden="1">"A33603"</definedName>
    <definedName name="FDD_129_9" hidden="1">"A33969"</definedName>
    <definedName name="FDD_13_0" hidden="1">"A25569"</definedName>
    <definedName name="FDD_130_0" hidden="1">"A30681"</definedName>
    <definedName name="FDD_130_1" hidden="1">"A31047"</definedName>
    <definedName name="FDD_130_10" hidden="1">"A34334"</definedName>
    <definedName name="FDD_130_11" hidden="1">"A34699"</definedName>
    <definedName name="FDD_130_12" hidden="1">"A35064"</definedName>
    <definedName name="FDD_130_13" hidden="1">"A35430"</definedName>
    <definedName name="FDD_130_14" hidden="1">"A35795"</definedName>
    <definedName name="FDD_130_2" hidden="1">"A31412"</definedName>
    <definedName name="FDD_130_3" hidden="1">"A31777"</definedName>
    <definedName name="FDD_130_4" hidden="1">"A32142"</definedName>
    <definedName name="FDD_130_5" hidden="1">"A32508"</definedName>
    <definedName name="FDD_130_6" hidden="1">"A32873"</definedName>
    <definedName name="FDD_130_7" hidden="1">"A33238"</definedName>
    <definedName name="FDD_130_8" hidden="1">"A33603"</definedName>
    <definedName name="FDD_130_9" hidden="1">"A33969"</definedName>
    <definedName name="FDD_131_0" hidden="1">"A30681"</definedName>
    <definedName name="FDD_131_1" hidden="1">"A31047"</definedName>
    <definedName name="FDD_131_10" hidden="1">"A34334"</definedName>
    <definedName name="FDD_131_11" hidden="1">"A34699"</definedName>
    <definedName name="FDD_131_12" hidden="1">"A35064"</definedName>
    <definedName name="FDD_131_13" hidden="1">"A35430"</definedName>
    <definedName name="FDD_131_14" hidden="1">"A35795"</definedName>
    <definedName name="FDD_131_2" hidden="1">"A31412"</definedName>
    <definedName name="FDD_131_3" hidden="1">"A31777"</definedName>
    <definedName name="FDD_131_4" hidden="1">"A32142"</definedName>
    <definedName name="FDD_131_5" hidden="1">"A32508"</definedName>
    <definedName name="FDD_131_6" hidden="1">"A32873"</definedName>
    <definedName name="FDD_131_7" hidden="1">"A33238"</definedName>
    <definedName name="FDD_131_8" hidden="1">"A33603"</definedName>
    <definedName name="FDD_131_9" hidden="1">"A33969"</definedName>
    <definedName name="FDD_132_0" hidden="1">"U30681"</definedName>
    <definedName name="FDD_132_1" hidden="1">"U31047"</definedName>
    <definedName name="FDD_132_10" hidden="1">"U34334"</definedName>
    <definedName name="FDD_132_11" hidden="1">"U34699"</definedName>
    <definedName name="FDD_132_12" hidden="1">"U35064"</definedName>
    <definedName name="FDD_132_13" hidden="1">"U35430"</definedName>
    <definedName name="FDD_132_14" hidden="1">"U35795"</definedName>
    <definedName name="FDD_132_2" hidden="1">"U31412"</definedName>
    <definedName name="FDD_132_3" hidden="1">"U31777"</definedName>
    <definedName name="FDD_132_4" hidden="1">"U32142"</definedName>
    <definedName name="FDD_132_5" hidden="1">"U32508"</definedName>
    <definedName name="FDD_132_6" hidden="1">"U32873"</definedName>
    <definedName name="FDD_132_7" hidden="1">"U33238"</definedName>
    <definedName name="FDD_132_8" hidden="1">"U33603"</definedName>
    <definedName name="FDD_132_9" hidden="1">"U33969"</definedName>
    <definedName name="FDD_133_0" hidden="1">"A30681"</definedName>
    <definedName name="FDD_133_1" hidden="1">"A31047"</definedName>
    <definedName name="FDD_133_10" hidden="1">"A34334"</definedName>
    <definedName name="FDD_133_11" hidden="1">"A34699"</definedName>
    <definedName name="FDD_133_12" hidden="1">"A35064"</definedName>
    <definedName name="FDD_133_13" hidden="1">"A35430"</definedName>
    <definedName name="FDD_133_14" hidden="1">"A35795"</definedName>
    <definedName name="FDD_133_2" hidden="1">"A31412"</definedName>
    <definedName name="FDD_133_3" hidden="1">"A31777"</definedName>
    <definedName name="FDD_133_4" hidden="1">"A32142"</definedName>
    <definedName name="FDD_133_5" hidden="1">"A32508"</definedName>
    <definedName name="FDD_133_6" hidden="1">"A32873"</definedName>
    <definedName name="FDD_133_7" hidden="1">"A33238"</definedName>
    <definedName name="FDD_133_8" hidden="1">"A33603"</definedName>
    <definedName name="FDD_133_9" hidden="1">"A33969"</definedName>
    <definedName name="FDD_134_0" hidden="1">"A30681"</definedName>
    <definedName name="FDD_134_1" hidden="1">"A31047"</definedName>
    <definedName name="FDD_134_10" hidden="1">"A34334"</definedName>
    <definedName name="FDD_134_11" hidden="1">"A34699"</definedName>
    <definedName name="FDD_134_12" hidden="1">"A35064"</definedName>
    <definedName name="FDD_134_13" hidden="1">"A35430"</definedName>
    <definedName name="FDD_134_14" hidden="1">"A35795"</definedName>
    <definedName name="FDD_134_2" hidden="1">"A31412"</definedName>
    <definedName name="FDD_134_3" hidden="1">"A31777"</definedName>
    <definedName name="FDD_134_4" hidden="1">"A32142"</definedName>
    <definedName name="FDD_134_5" hidden="1">"A32508"</definedName>
    <definedName name="FDD_134_6" hidden="1">"A32873"</definedName>
    <definedName name="FDD_134_7" hidden="1">"A33238"</definedName>
    <definedName name="FDD_134_8" hidden="1">"A33603"</definedName>
    <definedName name="FDD_134_9" hidden="1">"A33969"</definedName>
    <definedName name="FDD_135_0" hidden="1">"A30681"</definedName>
    <definedName name="FDD_135_1" hidden="1">"A31047"</definedName>
    <definedName name="FDD_135_10" hidden="1">"A34334"</definedName>
    <definedName name="FDD_135_11" hidden="1">"A34699"</definedName>
    <definedName name="FDD_135_12" hidden="1">"A35064"</definedName>
    <definedName name="FDD_135_13" hidden="1">"A35430"</definedName>
    <definedName name="FDD_135_14" hidden="1">"A35795"</definedName>
    <definedName name="FDD_135_2" hidden="1">"A31412"</definedName>
    <definedName name="FDD_135_3" hidden="1">"A31777"</definedName>
    <definedName name="FDD_135_4" hidden="1">"A32142"</definedName>
    <definedName name="FDD_135_5" hidden="1">"A32508"</definedName>
    <definedName name="FDD_135_6" hidden="1">"A32873"</definedName>
    <definedName name="FDD_135_7" hidden="1">"A33238"</definedName>
    <definedName name="FDD_135_8" hidden="1">"A33603"</definedName>
    <definedName name="FDD_135_9" hidden="1">"A33969"</definedName>
    <definedName name="FDD_136_0" hidden="1">"A30681"</definedName>
    <definedName name="FDD_136_1" hidden="1">"A31047"</definedName>
    <definedName name="FDD_136_10" hidden="1">"A34334"</definedName>
    <definedName name="FDD_136_11" hidden="1">"A34699"</definedName>
    <definedName name="FDD_136_12" hidden="1">"A35064"</definedName>
    <definedName name="FDD_136_13" hidden="1">"A35430"</definedName>
    <definedName name="FDD_136_14" hidden="1">"A35795"</definedName>
    <definedName name="FDD_136_2" hidden="1">"A31412"</definedName>
    <definedName name="FDD_136_3" hidden="1">"A31777"</definedName>
    <definedName name="FDD_136_4" hidden="1">"A32142"</definedName>
    <definedName name="FDD_136_5" hidden="1">"A32508"</definedName>
    <definedName name="FDD_136_6" hidden="1">"A32873"</definedName>
    <definedName name="FDD_136_7" hidden="1">"A33238"</definedName>
    <definedName name="FDD_136_8" hidden="1">"A33603"</definedName>
    <definedName name="FDD_136_9" hidden="1">"A33969"</definedName>
    <definedName name="FDD_137_0" hidden="1">"A30681"</definedName>
    <definedName name="FDD_137_1" hidden="1">"A31047"</definedName>
    <definedName name="FDD_137_10" hidden="1">"A34334"</definedName>
    <definedName name="FDD_137_11" hidden="1">"A34699"</definedName>
    <definedName name="FDD_137_12" hidden="1">"A35064"</definedName>
    <definedName name="FDD_137_13" hidden="1">"A35430"</definedName>
    <definedName name="FDD_137_14" hidden="1">"A35795"</definedName>
    <definedName name="FDD_137_2" hidden="1">"A31412"</definedName>
    <definedName name="FDD_137_3" hidden="1">"A31777"</definedName>
    <definedName name="FDD_137_4" hidden="1">"A32142"</definedName>
    <definedName name="FDD_137_5" hidden="1">"A32508"</definedName>
    <definedName name="FDD_137_6" hidden="1">"A32873"</definedName>
    <definedName name="FDD_137_7" hidden="1">"A33238"</definedName>
    <definedName name="FDD_137_8" hidden="1">"A33603"</definedName>
    <definedName name="FDD_137_9" hidden="1">"A33969"</definedName>
    <definedName name="FDD_138_0" hidden="1">"A30681"</definedName>
    <definedName name="FDD_138_1" hidden="1">"A31047"</definedName>
    <definedName name="FDD_138_10" hidden="1">"A34334"</definedName>
    <definedName name="FDD_138_11" hidden="1">"A34699"</definedName>
    <definedName name="FDD_138_12" hidden="1">"A35064"</definedName>
    <definedName name="FDD_138_13" hidden="1">"A35430"</definedName>
    <definedName name="FDD_138_14" hidden="1">"A35795"</definedName>
    <definedName name="FDD_138_2" hidden="1">"A31412"</definedName>
    <definedName name="FDD_138_3" hidden="1">"A31777"</definedName>
    <definedName name="FDD_138_4" hidden="1">"A32142"</definedName>
    <definedName name="FDD_138_5" hidden="1">"A32508"</definedName>
    <definedName name="FDD_138_6" hidden="1">"A32873"</definedName>
    <definedName name="FDD_138_7" hidden="1">"A33238"</definedName>
    <definedName name="FDD_138_8" hidden="1">"A33603"</definedName>
    <definedName name="FDD_138_9" hidden="1">"A33969"</definedName>
    <definedName name="FDD_139_0" hidden="1">"A30681"</definedName>
    <definedName name="FDD_139_1" hidden="1">"A31047"</definedName>
    <definedName name="FDD_139_10" hidden="1">"U34334"</definedName>
    <definedName name="FDD_139_11" hidden="1">"U34699"</definedName>
    <definedName name="FDD_139_12" hidden="1">"U35064"</definedName>
    <definedName name="FDD_139_13" hidden="1">"U35430"</definedName>
    <definedName name="FDD_139_14" hidden="1">"U35795"</definedName>
    <definedName name="FDD_139_2" hidden="1">"A31412"</definedName>
    <definedName name="FDD_139_3" hidden="1">"U31777"</definedName>
    <definedName name="FDD_139_4" hidden="1">"U32142"</definedName>
    <definedName name="FDD_139_5" hidden="1">"U32508"</definedName>
    <definedName name="FDD_139_6" hidden="1">"U32873"</definedName>
    <definedName name="FDD_139_7" hidden="1">"U33238"</definedName>
    <definedName name="FDD_139_8" hidden="1">"U33603"</definedName>
    <definedName name="FDD_139_9" hidden="1">"U33969"</definedName>
    <definedName name="FDD_14_0" hidden="1">"A25569"</definedName>
    <definedName name="FDD_140_0" hidden="1">"A25569"</definedName>
    <definedName name="FDD_140_1" hidden="1">"R31047"</definedName>
    <definedName name="FDD_140_10" hidden="1">"R34334"</definedName>
    <definedName name="FDD_140_11" hidden="1">"R34699"</definedName>
    <definedName name="FDD_140_12" hidden="1">"R35064"</definedName>
    <definedName name="FDD_140_13" hidden="1">"R35430"</definedName>
    <definedName name="FDD_140_14" hidden="1">"R35795"</definedName>
    <definedName name="FDD_140_2" hidden="1">"R31412"</definedName>
    <definedName name="FDD_140_3" hidden="1">"R31777"</definedName>
    <definedName name="FDD_140_4" hidden="1">"R32142"</definedName>
    <definedName name="FDD_140_5" hidden="1">"R32508"</definedName>
    <definedName name="FDD_140_6" hidden="1">"R32873"</definedName>
    <definedName name="FDD_140_7" hidden="1">"R33238"</definedName>
    <definedName name="FDD_140_8" hidden="1">"R33603"</definedName>
    <definedName name="FDD_140_9" hidden="1">"R33969"</definedName>
    <definedName name="FDD_141_0" hidden="1">"A30681"</definedName>
    <definedName name="FDD_141_1" hidden="1">"A31047"</definedName>
    <definedName name="FDD_141_10" hidden="1">"A34334"</definedName>
    <definedName name="FDD_141_11" hidden="1">"A34699"</definedName>
    <definedName name="FDD_141_12" hidden="1">"A35064"</definedName>
    <definedName name="FDD_141_13" hidden="1">"A35430"</definedName>
    <definedName name="FDD_141_14" hidden="1">"A35795"</definedName>
    <definedName name="FDD_141_2" hidden="1">"A31412"</definedName>
    <definedName name="FDD_141_3" hidden="1">"A31777"</definedName>
    <definedName name="FDD_141_4" hidden="1">"A32142"</definedName>
    <definedName name="FDD_141_5" hidden="1">"A32508"</definedName>
    <definedName name="FDD_141_6" hidden="1">"A32873"</definedName>
    <definedName name="FDD_141_7" hidden="1">"A33238"</definedName>
    <definedName name="FDD_141_8" hidden="1">"A33603"</definedName>
    <definedName name="FDD_141_9" hidden="1">"A33969"</definedName>
    <definedName name="FDD_142_0" hidden="1">"A30681"</definedName>
    <definedName name="FDD_142_1" hidden="1">"A31047"</definedName>
    <definedName name="FDD_142_10" hidden="1">"A34334"</definedName>
    <definedName name="FDD_142_11" hidden="1">"A34699"</definedName>
    <definedName name="FDD_142_12" hidden="1">"A35064"</definedName>
    <definedName name="FDD_142_13" hidden="1">"A35430"</definedName>
    <definedName name="FDD_142_14" hidden="1">"A35795"</definedName>
    <definedName name="FDD_142_2" hidden="1">"A31412"</definedName>
    <definedName name="FDD_142_3" hidden="1">"A31777"</definedName>
    <definedName name="FDD_142_4" hidden="1">"A32142"</definedName>
    <definedName name="FDD_142_5" hidden="1">"A32508"</definedName>
    <definedName name="FDD_142_6" hidden="1">"A32873"</definedName>
    <definedName name="FDD_142_7" hidden="1">"A33238"</definedName>
    <definedName name="FDD_142_8" hidden="1">"A33603"</definedName>
    <definedName name="FDD_142_9" hidden="1">"A33969"</definedName>
    <definedName name="FDD_143_0" hidden="1">"A30681"</definedName>
    <definedName name="FDD_143_1" hidden="1">"A31047"</definedName>
    <definedName name="FDD_143_10" hidden="1">"A34334"</definedName>
    <definedName name="FDD_143_11" hidden="1">"A34699"</definedName>
    <definedName name="FDD_143_12" hidden="1">"A35064"</definedName>
    <definedName name="FDD_143_13" hidden="1">"A35430"</definedName>
    <definedName name="FDD_143_14" hidden="1">"A35795"</definedName>
    <definedName name="FDD_143_2" hidden="1">"A31412"</definedName>
    <definedName name="FDD_143_3" hidden="1">"A31777"</definedName>
    <definedName name="FDD_143_4" hidden="1">"A32142"</definedName>
    <definedName name="FDD_143_5" hidden="1">"A32508"</definedName>
    <definedName name="FDD_143_6" hidden="1">"A32873"</definedName>
    <definedName name="FDD_143_7" hidden="1">"A33238"</definedName>
    <definedName name="FDD_143_8" hidden="1">"A33603"</definedName>
    <definedName name="FDD_143_9" hidden="1">"A33969"</definedName>
    <definedName name="FDD_144_0" hidden="1">"A30681"</definedName>
    <definedName name="FDD_144_1" hidden="1">"A31047"</definedName>
    <definedName name="FDD_144_10" hidden="1">"A34334"</definedName>
    <definedName name="FDD_144_11" hidden="1">"A34699"</definedName>
    <definedName name="FDD_144_12" hidden="1">"A35064"</definedName>
    <definedName name="FDD_144_13" hidden="1">"A35430"</definedName>
    <definedName name="FDD_144_14" hidden="1">"A35795"</definedName>
    <definedName name="FDD_144_2" hidden="1">"A31412"</definedName>
    <definedName name="FDD_144_3" hidden="1">"A31777"</definedName>
    <definedName name="FDD_144_4" hidden="1">"A32142"</definedName>
    <definedName name="FDD_144_5" hidden="1">"A32508"</definedName>
    <definedName name="FDD_144_6" hidden="1">"A32873"</definedName>
    <definedName name="FDD_144_7" hidden="1">"A33238"</definedName>
    <definedName name="FDD_144_8" hidden="1">"A33603"</definedName>
    <definedName name="FDD_144_9" hidden="1">"A33969"</definedName>
    <definedName name="FDD_145_0" hidden="1">"A30681"</definedName>
    <definedName name="FDD_145_1" hidden="1">"A31047"</definedName>
    <definedName name="FDD_145_10" hidden="1">"A34334"</definedName>
    <definedName name="FDD_145_11" hidden="1">"A34699"</definedName>
    <definedName name="FDD_145_12" hidden="1">"A35064"</definedName>
    <definedName name="FDD_145_13" hidden="1">"A35430"</definedName>
    <definedName name="FDD_145_14" hidden="1">"A35795"</definedName>
    <definedName name="FDD_145_2" hidden="1">"A31412"</definedName>
    <definedName name="FDD_145_3" hidden="1">"A31777"</definedName>
    <definedName name="FDD_145_4" hidden="1">"A32142"</definedName>
    <definedName name="FDD_145_5" hidden="1">"A32508"</definedName>
    <definedName name="FDD_145_6" hidden="1">"A32873"</definedName>
    <definedName name="FDD_145_7" hidden="1">"A33238"</definedName>
    <definedName name="FDD_145_8" hidden="1">"A33603"</definedName>
    <definedName name="FDD_145_9" hidden="1">"A33969"</definedName>
    <definedName name="FDD_146_0" hidden="1">"A30681"</definedName>
    <definedName name="FDD_146_1" hidden="1">"A31047"</definedName>
    <definedName name="FDD_146_10" hidden="1">"A34334"</definedName>
    <definedName name="FDD_146_11" hidden="1">"A34699"</definedName>
    <definedName name="FDD_146_12" hidden="1">"A35064"</definedName>
    <definedName name="FDD_146_13" hidden="1">"A35430"</definedName>
    <definedName name="FDD_146_14" hidden="1">"A35795"</definedName>
    <definedName name="FDD_146_2" hidden="1">"A31412"</definedName>
    <definedName name="FDD_146_3" hidden="1">"A31777"</definedName>
    <definedName name="FDD_146_4" hidden="1">"A32142"</definedName>
    <definedName name="FDD_146_5" hidden="1">"A32508"</definedName>
    <definedName name="FDD_146_6" hidden="1">"A32873"</definedName>
    <definedName name="FDD_146_7" hidden="1">"A33238"</definedName>
    <definedName name="FDD_146_8" hidden="1">"A33603"</definedName>
    <definedName name="FDD_146_9" hidden="1">"A33969"</definedName>
    <definedName name="FDD_147_0" hidden="1">"U30681"</definedName>
    <definedName name="FDD_147_1" hidden="1">"U31047"</definedName>
    <definedName name="FDD_147_10" hidden="1">"U34334"</definedName>
    <definedName name="FDD_147_11" hidden="1">"U34699"</definedName>
    <definedName name="FDD_147_12" hidden="1">"U35064"</definedName>
    <definedName name="FDD_147_13" hidden="1">"U35430"</definedName>
    <definedName name="FDD_147_14" hidden="1">"U35795"</definedName>
    <definedName name="FDD_147_2" hidden="1">"U31412"</definedName>
    <definedName name="FDD_147_3" hidden="1">"U31777"</definedName>
    <definedName name="FDD_147_4" hidden="1">"U32142"</definedName>
    <definedName name="FDD_147_5" hidden="1">"U32508"</definedName>
    <definedName name="FDD_147_6" hidden="1">"U32873"</definedName>
    <definedName name="FDD_147_7" hidden="1">"U33238"</definedName>
    <definedName name="FDD_147_8" hidden="1">"U33603"</definedName>
    <definedName name="FDD_147_9" hidden="1">"U33969"</definedName>
    <definedName name="FDD_148_0" hidden="1">"A30681"</definedName>
    <definedName name="FDD_148_1" hidden="1">"A31047"</definedName>
    <definedName name="FDD_148_10" hidden="1">"A34334"</definedName>
    <definedName name="FDD_148_11" hidden="1">"A34699"</definedName>
    <definedName name="FDD_148_12" hidden="1">"A35064"</definedName>
    <definedName name="FDD_148_13" hidden="1">"A35430"</definedName>
    <definedName name="FDD_148_14" hidden="1">"A35795"</definedName>
    <definedName name="FDD_148_2" hidden="1">"A31412"</definedName>
    <definedName name="FDD_148_3" hidden="1">"A31777"</definedName>
    <definedName name="FDD_148_4" hidden="1">"A32142"</definedName>
    <definedName name="FDD_148_5" hidden="1">"A32508"</definedName>
    <definedName name="FDD_148_6" hidden="1">"A32873"</definedName>
    <definedName name="FDD_148_7" hidden="1">"A33238"</definedName>
    <definedName name="FDD_148_8" hidden="1">"A33603"</definedName>
    <definedName name="FDD_148_9" hidden="1">"A33969"</definedName>
    <definedName name="FDD_149_0" hidden="1">"U30681"</definedName>
    <definedName name="FDD_149_1" hidden="1">"U31047"</definedName>
    <definedName name="FDD_149_10" hidden="1">"U34334"</definedName>
    <definedName name="FDD_149_11" hidden="1">"U34699"</definedName>
    <definedName name="FDD_149_12" hidden="1">"U35064"</definedName>
    <definedName name="FDD_149_13" hidden="1">"U35430"</definedName>
    <definedName name="FDD_149_14" hidden="1">"A35795"</definedName>
    <definedName name="FDD_149_2" hidden="1">"U31412"</definedName>
    <definedName name="FDD_149_3" hidden="1">"U31777"</definedName>
    <definedName name="FDD_149_4" hidden="1">"U32142"</definedName>
    <definedName name="FDD_149_5" hidden="1">"U32508"</definedName>
    <definedName name="FDD_149_6" hidden="1">"U32873"</definedName>
    <definedName name="FDD_149_7" hidden="1">"U33238"</definedName>
    <definedName name="FDD_149_8" hidden="1">"U33603"</definedName>
    <definedName name="FDD_149_9" hidden="1">"U33969"</definedName>
    <definedName name="FDD_15_0" hidden="1">"A25569"</definedName>
    <definedName name="FDD_150_0" hidden="1">"A30681"</definedName>
    <definedName name="FDD_150_1" hidden="1">"A31047"</definedName>
    <definedName name="FDD_150_10" hidden="1">"A34334"</definedName>
    <definedName name="FDD_150_11" hidden="1">"A34699"</definedName>
    <definedName name="FDD_150_12" hidden="1">"A35064"</definedName>
    <definedName name="FDD_150_13" hidden="1">"A35430"</definedName>
    <definedName name="FDD_150_14" hidden="1">"A35795"</definedName>
    <definedName name="FDD_150_2" hidden="1">"A31412"</definedName>
    <definedName name="FDD_150_3" hidden="1">"A31777"</definedName>
    <definedName name="FDD_150_4" hidden="1">"A32142"</definedName>
    <definedName name="FDD_150_5" hidden="1">"A32508"</definedName>
    <definedName name="FDD_150_6" hidden="1">"A32873"</definedName>
    <definedName name="FDD_150_7" hidden="1">"A33238"</definedName>
    <definedName name="FDD_150_8" hidden="1">"A33603"</definedName>
    <definedName name="FDD_150_9" hidden="1">"A33969"</definedName>
    <definedName name="FDD_151_0" hidden="1">"A30681"</definedName>
    <definedName name="FDD_151_1" hidden="1">"A31047"</definedName>
    <definedName name="FDD_151_10" hidden="1">"A34334"</definedName>
    <definedName name="FDD_151_11" hidden="1">"A34699"</definedName>
    <definedName name="FDD_151_12" hidden="1">"A35064"</definedName>
    <definedName name="FDD_151_13" hidden="1">"A35430"</definedName>
    <definedName name="FDD_151_14" hidden="1">"A35795"</definedName>
    <definedName name="FDD_151_2" hidden="1">"A31412"</definedName>
    <definedName name="FDD_151_3" hidden="1">"A31777"</definedName>
    <definedName name="FDD_151_4" hidden="1">"A32142"</definedName>
    <definedName name="FDD_151_5" hidden="1">"A32508"</definedName>
    <definedName name="FDD_151_6" hidden="1">"A32873"</definedName>
    <definedName name="FDD_151_7" hidden="1">"A33238"</definedName>
    <definedName name="FDD_151_8" hidden="1">"A33603"</definedName>
    <definedName name="FDD_151_9" hidden="1">"A33969"</definedName>
    <definedName name="FDD_152_0" hidden="1">"A30681"</definedName>
    <definedName name="FDD_152_1" hidden="1">"A31047"</definedName>
    <definedName name="FDD_152_10" hidden="1">"A34334"</definedName>
    <definedName name="FDD_152_11" hidden="1">"A34699"</definedName>
    <definedName name="FDD_152_12" hidden="1">"A35064"</definedName>
    <definedName name="FDD_152_13" hidden="1">"A35430"</definedName>
    <definedName name="FDD_152_14" hidden="1">"A35795"</definedName>
    <definedName name="FDD_152_15" hidden="1">"E36160"</definedName>
    <definedName name="FDD_152_2" hidden="1">"A31412"</definedName>
    <definedName name="FDD_152_3" hidden="1">"A31777"</definedName>
    <definedName name="FDD_152_4" hidden="1">"A32142"</definedName>
    <definedName name="FDD_152_5" hidden="1">"A32508"</definedName>
    <definedName name="FDD_152_6" hidden="1">"A32873"</definedName>
    <definedName name="FDD_152_7" hidden="1">"A33238"</definedName>
    <definedName name="FDD_152_8" hidden="1">"A33603"</definedName>
    <definedName name="FDD_152_9" hidden="1">"A33969"</definedName>
    <definedName name="FDD_153_0" hidden="1">"A30681"</definedName>
    <definedName name="FDD_153_1" hidden="1">"A31047"</definedName>
    <definedName name="FDD_153_10" hidden="1">"A34334"</definedName>
    <definedName name="FDD_153_11" hidden="1">"A34699"</definedName>
    <definedName name="FDD_153_12" hidden="1">"A35064"</definedName>
    <definedName name="FDD_153_13" hidden="1">"A35430"</definedName>
    <definedName name="FDD_153_14" hidden="1">"A35795"</definedName>
    <definedName name="FDD_153_2" hidden="1">"A31412"</definedName>
    <definedName name="FDD_153_3" hidden="1">"A31777"</definedName>
    <definedName name="FDD_153_4" hidden="1">"A32142"</definedName>
    <definedName name="FDD_153_5" hidden="1">"A32508"</definedName>
    <definedName name="FDD_153_6" hidden="1">"A32873"</definedName>
    <definedName name="FDD_153_7" hidden="1">"A33238"</definedName>
    <definedName name="FDD_153_8" hidden="1">"A33603"</definedName>
    <definedName name="FDD_153_9" hidden="1">"A33969"</definedName>
    <definedName name="FDD_154_0" hidden="1">"A30681"</definedName>
    <definedName name="FDD_154_1" hidden="1">"A31047"</definedName>
    <definedName name="FDD_154_10" hidden="1">"A34334"</definedName>
    <definedName name="FDD_154_11" hidden="1">"A34699"</definedName>
    <definedName name="FDD_154_12" hidden="1">"A35064"</definedName>
    <definedName name="FDD_154_13" hidden="1">"A35430"</definedName>
    <definedName name="FDD_154_14" hidden="1">"A35795"</definedName>
    <definedName name="FDD_154_2" hidden="1">"A31412"</definedName>
    <definedName name="FDD_154_3" hidden="1">"A31777"</definedName>
    <definedName name="FDD_154_4" hidden="1">"A32142"</definedName>
    <definedName name="FDD_154_5" hidden="1">"A32508"</definedName>
    <definedName name="FDD_154_6" hidden="1">"A32873"</definedName>
    <definedName name="FDD_154_7" hidden="1">"A33238"</definedName>
    <definedName name="FDD_154_8" hidden="1">"A33603"</definedName>
    <definedName name="FDD_154_9" hidden="1">"A33969"</definedName>
    <definedName name="FDD_155_0" hidden="1">"A25569"</definedName>
    <definedName name="FDD_155_1" hidden="1">"A31047"</definedName>
    <definedName name="FDD_155_10" hidden="1">"A34334"</definedName>
    <definedName name="FDD_155_11" hidden="1">"A34699"</definedName>
    <definedName name="FDD_155_12" hidden="1">"A35064"</definedName>
    <definedName name="FDD_155_13" hidden="1">"A35430"</definedName>
    <definedName name="FDD_155_14" hidden="1">"A35795"</definedName>
    <definedName name="FDD_155_15" hidden="1">"E36160"</definedName>
    <definedName name="FDD_155_2" hidden="1">"A31412"</definedName>
    <definedName name="FDD_155_3" hidden="1">"A31777"</definedName>
    <definedName name="FDD_155_4" hidden="1">"A32142"</definedName>
    <definedName name="FDD_155_5" hidden="1">"A32508"</definedName>
    <definedName name="FDD_155_6" hidden="1">"A32873"</definedName>
    <definedName name="FDD_155_7" hidden="1">"A33238"</definedName>
    <definedName name="FDD_155_8" hidden="1">"A33603"</definedName>
    <definedName name="FDD_155_9" hidden="1">"A33969"</definedName>
    <definedName name="FDD_156_0" hidden="1">"A30681"</definedName>
    <definedName name="FDD_156_1" hidden="1">"A31047"</definedName>
    <definedName name="FDD_156_10" hidden="1">"A34334"</definedName>
    <definedName name="FDD_156_11" hidden="1">"A34699"</definedName>
    <definedName name="FDD_156_12" hidden="1">"A35064"</definedName>
    <definedName name="FDD_156_13" hidden="1">"A35430"</definedName>
    <definedName name="FDD_156_14" hidden="1">"A35795"</definedName>
    <definedName name="FDD_156_15" hidden="1">"E36160"</definedName>
    <definedName name="FDD_156_2" hidden="1">"A31412"</definedName>
    <definedName name="FDD_156_3" hidden="1">"A31777"</definedName>
    <definedName name="FDD_156_4" hidden="1">"A32142"</definedName>
    <definedName name="FDD_156_5" hidden="1">"A32508"</definedName>
    <definedName name="FDD_156_6" hidden="1">"A32873"</definedName>
    <definedName name="FDD_156_7" hidden="1">"A33238"</definedName>
    <definedName name="FDD_156_8" hidden="1">"A33603"</definedName>
    <definedName name="FDD_156_9" hidden="1">"A33969"</definedName>
    <definedName name="FDD_157_0" hidden="1">"A30681"</definedName>
    <definedName name="FDD_157_1" hidden="1">"A31047"</definedName>
    <definedName name="FDD_157_10" hidden="1">"A34334"</definedName>
    <definedName name="FDD_157_11" hidden="1">"A34699"</definedName>
    <definedName name="FDD_157_12" hidden="1">"A35064"</definedName>
    <definedName name="FDD_157_13" hidden="1">"A35430"</definedName>
    <definedName name="FDD_157_14" hidden="1">"A35795"</definedName>
    <definedName name="FDD_157_2" hidden="1">"A31412"</definedName>
    <definedName name="FDD_157_3" hidden="1">"A31777"</definedName>
    <definedName name="FDD_157_4" hidden="1">"A32142"</definedName>
    <definedName name="FDD_157_5" hidden="1">"A32508"</definedName>
    <definedName name="FDD_157_6" hidden="1">"A32873"</definedName>
    <definedName name="FDD_157_7" hidden="1">"A33238"</definedName>
    <definedName name="FDD_157_8" hidden="1">"A33603"</definedName>
    <definedName name="FDD_157_9" hidden="1">"A33969"</definedName>
    <definedName name="FDD_158_0" hidden="1">"A30681"</definedName>
    <definedName name="FDD_158_1" hidden="1">"A31047"</definedName>
    <definedName name="FDD_158_10" hidden="1">"A34334"</definedName>
    <definedName name="FDD_158_11" hidden="1">"A34699"</definedName>
    <definedName name="FDD_158_12" hidden="1">"A35064"</definedName>
    <definedName name="FDD_158_13" hidden="1">"A35430"</definedName>
    <definedName name="FDD_158_14" hidden="1">"A35795"</definedName>
    <definedName name="FDD_158_15" hidden="1">"E36160"</definedName>
    <definedName name="FDD_158_2" hidden="1">"A31412"</definedName>
    <definedName name="FDD_158_3" hidden="1">"A31777"</definedName>
    <definedName name="FDD_158_4" hidden="1">"A32142"</definedName>
    <definedName name="FDD_158_5" hidden="1">"A32508"</definedName>
    <definedName name="FDD_158_6" hidden="1">"A32873"</definedName>
    <definedName name="FDD_158_7" hidden="1">"A33238"</definedName>
    <definedName name="FDD_158_8" hidden="1">"A33603"</definedName>
    <definedName name="FDD_158_9" hidden="1">"A33969"</definedName>
    <definedName name="FDD_159_0" hidden="1">"A30681"</definedName>
    <definedName name="FDD_159_1" hidden="1">"A31047"</definedName>
    <definedName name="FDD_159_10" hidden="1">"A34334"</definedName>
    <definedName name="FDD_159_11" hidden="1">"A34699"</definedName>
    <definedName name="FDD_159_12" hidden="1">"A35064"</definedName>
    <definedName name="FDD_159_13" hidden="1">"A35430"</definedName>
    <definedName name="FDD_159_14" hidden="1">"A35795"</definedName>
    <definedName name="FDD_159_15" hidden="1">"U36160"</definedName>
    <definedName name="FDD_159_2" hidden="1">"A31412"</definedName>
    <definedName name="FDD_159_3" hidden="1">"A31777"</definedName>
    <definedName name="FDD_159_4" hidden="1">"A32142"</definedName>
    <definedName name="FDD_159_5" hidden="1">"A32508"</definedName>
    <definedName name="FDD_159_6" hidden="1">"A32873"</definedName>
    <definedName name="FDD_159_7" hidden="1">"A33238"</definedName>
    <definedName name="FDD_159_8" hidden="1">"A33603"</definedName>
    <definedName name="FDD_159_9" hidden="1">"A33969"</definedName>
    <definedName name="FDD_16_0" hidden="1">"A25569"</definedName>
    <definedName name="FDD_160_0" hidden="1">"A30681"</definedName>
    <definedName name="FDD_160_1" hidden="1">"A31047"</definedName>
    <definedName name="FDD_160_10" hidden="1">"A34334"</definedName>
    <definedName name="FDD_160_11" hidden="1">"A34699"</definedName>
    <definedName name="FDD_160_12" hidden="1">"A35064"</definedName>
    <definedName name="FDD_160_13" hidden="1">"A35430"</definedName>
    <definedName name="FDD_160_14" hidden="1">"A35795"</definedName>
    <definedName name="FDD_160_15" hidden="1">"E36160"</definedName>
    <definedName name="FDD_160_2" hidden="1">"A31412"</definedName>
    <definedName name="FDD_160_3" hidden="1">"A31777"</definedName>
    <definedName name="FDD_160_4" hidden="1">"A32142"</definedName>
    <definedName name="FDD_160_5" hidden="1">"A32508"</definedName>
    <definedName name="FDD_160_6" hidden="1">"A32873"</definedName>
    <definedName name="FDD_160_7" hidden="1">"A33238"</definedName>
    <definedName name="FDD_160_8" hidden="1">"A33603"</definedName>
    <definedName name="FDD_160_9" hidden="1">"A33969"</definedName>
    <definedName name="FDD_161_0" hidden="1">"A30681"</definedName>
    <definedName name="FDD_161_1" hidden="1">"A31047"</definedName>
    <definedName name="FDD_161_10" hidden="1">"A34334"</definedName>
    <definedName name="FDD_161_11" hidden="1">"A34699"</definedName>
    <definedName name="FDD_161_12" hidden="1">"A35064"</definedName>
    <definedName name="FDD_161_13" hidden="1">"A35430"</definedName>
    <definedName name="FDD_161_14" hidden="1">"A35795"</definedName>
    <definedName name="FDD_161_2" hidden="1">"A31412"</definedName>
    <definedName name="FDD_161_3" hidden="1">"A31777"</definedName>
    <definedName name="FDD_161_4" hidden="1">"A32142"</definedName>
    <definedName name="FDD_161_5" hidden="1">"A32508"</definedName>
    <definedName name="FDD_161_6" hidden="1">"A32873"</definedName>
    <definedName name="FDD_161_7" hidden="1">"A33238"</definedName>
    <definedName name="FDD_161_8" hidden="1">"A33603"</definedName>
    <definedName name="FDD_161_9" hidden="1">"A33969"</definedName>
    <definedName name="FDD_162_0" hidden="1">"A30681"</definedName>
    <definedName name="FDD_162_1" hidden="1">"A31047"</definedName>
    <definedName name="FDD_162_10" hidden="1">"A34334"</definedName>
    <definedName name="FDD_162_11" hidden="1">"A34699"</definedName>
    <definedName name="FDD_162_12" hidden="1">"A35064"</definedName>
    <definedName name="FDD_162_13" hidden="1">"A35430"</definedName>
    <definedName name="FDD_162_14" hidden="1">"A35795"</definedName>
    <definedName name="FDD_162_2" hidden="1">"A31412"</definedName>
    <definedName name="FDD_162_3" hidden="1">"A31777"</definedName>
    <definedName name="FDD_162_4" hidden="1">"A32142"</definedName>
    <definedName name="FDD_162_5" hidden="1">"A32508"</definedName>
    <definedName name="FDD_162_6" hidden="1">"A32873"</definedName>
    <definedName name="FDD_162_7" hidden="1">"A33238"</definedName>
    <definedName name="FDD_162_8" hidden="1">"A33603"</definedName>
    <definedName name="FDD_162_9" hidden="1">"A33969"</definedName>
    <definedName name="FDD_163_0" hidden="1">"A30681"</definedName>
    <definedName name="FDD_163_1" hidden="1">"A31047"</definedName>
    <definedName name="FDD_163_10" hidden="1">"A34334"</definedName>
    <definedName name="FDD_163_11" hidden="1">"A34699"</definedName>
    <definedName name="FDD_163_12" hidden="1">"A35064"</definedName>
    <definedName name="FDD_163_13" hidden="1">"A35430"</definedName>
    <definedName name="FDD_163_14" hidden="1">"A35795"</definedName>
    <definedName name="FDD_163_15" hidden="1">"E36160"</definedName>
    <definedName name="FDD_163_2" hidden="1">"A31412"</definedName>
    <definedName name="FDD_163_3" hidden="1">"A31777"</definedName>
    <definedName name="FDD_163_4" hidden="1">"A32142"</definedName>
    <definedName name="FDD_163_5" hidden="1">"A32508"</definedName>
    <definedName name="FDD_163_6" hidden="1">"A32873"</definedName>
    <definedName name="FDD_163_7" hidden="1">"A33238"</definedName>
    <definedName name="FDD_163_8" hidden="1">"A33603"</definedName>
    <definedName name="FDD_163_9" hidden="1">"A33969"</definedName>
    <definedName name="FDD_164_0" hidden="1">"A25569"</definedName>
    <definedName name="FDD_164_1" hidden="1">"A31047"</definedName>
    <definedName name="FDD_164_10" hidden="1">"A34334"</definedName>
    <definedName name="FDD_164_11" hidden="1">"A34699"</definedName>
    <definedName name="FDD_164_12" hidden="1">"A35064"</definedName>
    <definedName name="FDD_164_13" hidden="1">"A35430"</definedName>
    <definedName name="FDD_164_14" hidden="1">"A35795"</definedName>
    <definedName name="FDD_164_2" hidden="1">"A31412"</definedName>
    <definedName name="FDD_164_3" hidden="1">"A31777"</definedName>
    <definedName name="FDD_164_4" hidden="1">"A32142"</definedName>
    <definedName name="FDD_164_5" hidden="1">"A32508"</definedName>
    <definedName name="FDD_164_6" hidden="1">"A32873"</definedName>
    <definedName name="FDD_164_7" hidden="1">"A33238"</definedName>
    <definedName name="FDD_164_8" hidden="1">"A33603"</definedName>
    <definedName name="FDD_164_9" hidden="1">"A33969"</definedName>
    <definedName name="FDD_165_0" hidden="1">"A30681"</definedName>
    <definedName name="FDD_165_1" hidden="1">"A31047"</definedName>
    <definedName name="FDD_165_10" hidden="1">"A34334"</definedName>
    <definedName name="FDD_165_11" hidden="1">"A34699"</definedName>
    <definedName name="FDD_165_12" hidden="1">"A35064"</definedName>
    <definedName name="FDD_165_13" hidden="1">"A35430"</definedName>
    <definedName name="FDD_165_14" hidden="1">"A35795"</definedName>
    <definedName name="FDD_165_2" hidden="1">"A31412"</definedName>
    <definedName name="FDD_165_3" hidden="1">"A31777"</definedName>
    <definedName name="FDD_165_4" hidden="1">"A32142"</definedName>
    <definedName name="FDD_165_5" hidden="1">"A32508"</definedName>
    <definedName name="FDD_165_6" hidden="1">"A32873"</definedName>
    <definedName name="FDD_165_7" hidden="1">"A33238"</definedName>
    <definedName name="FDD_165_8" hidden="1">"A33603"</definedName>
    <definedName name="FDD_165_9" hidden="1">"A33969"</definedName>
    <definedName name="FDD_166_0" hidden="1">"A30681"</definedName>
    <definedName name="FDD_166_1" hidden="1">"A31047"</definedName>
    <definedName name="FDD_166_10" hidden="1">"A34334"</definedName>
    <definedName name="FDD_166_11" hidden="1">"A34699"</definedName>
    <definedName name="FDD_166_12" hidden="1">"A35064"</definedName>
    <definedName name="FDD_166_13" hidden="1">"A35430"</definedName>
    <definedName name="FDD_166_14" hidden="1">"A35795"</definedName>
    <definedName name="FDD_166_15" hidden="1">"E36160"</definedName>
    <definedName name="FDD_166_2" hidden="1">"A31412"</definedName>
    <definedName name="FDD_166_3" hidden="1">"A31777"</definedName>
    <definedName name="FDD_166_4" hidden="1">"A32142"</definedName>
    <definedName name="FDD_166_5" hidden="1">"A32508"</definedName>
    <definedName name="FDD_166_6" hidden="1">"A32873"</definedName>
    <definedName name="FDD_166_7" hidden="1">"A33238"</definedName>
    <definedName name="FDD_166_8" hidden="1">"A33603"</definedName>
    <definedName name="FDD_166_9" hidden="1">"A33969"</definedName>
    <definedName name="FDD_167_0" hidden="1">"A30681"</definedName>
    <definedName name="FDD_167_1" hidden="1">"A31047"</definedName>
    <definedName name="FDD_167_10" hidden="1">"A34334"</definedName>
    <definedName name="FDD_167_11" hidden="1">"A34699"</definedName>
    <definedName name="FDD_167_12" hidden="1">"A35064"</definedName>
    <definedName name="FDD_167_13" hidden="1">"A35430"</definedName>
    <definedName name="FDD_167_14" hidden="1">"A35795"</definedName>
    <definedName name="FDD_167_2" hidden="1">"A31412"</definedName>
    <definedName name="FDD_167_3" hidden="1">"A31777"</definedName>
    <definedName name="FDD_167_4" hidden="1">"A32142"</definedName>
    <definedName name="FDD_167_5" hidden="1">"A32508"</definedName>
    <definedName name="FDD_167_6" hidden="1">"A32873"</definedName>
    <definedName name="FDD_167_7" hidden="1">"A33238"</definedName>
    <definedName name="FDD_167_8" hidden="1">"A33603"</definedName>
    <definedName name="FDD_167_9" hidden="1">"A33969"</definedName>
    <definedName name="FDD_168_0" hidden="1">"E36160"</definedName>
    <definedName name="FDD_168_1" hidden="1">"E36525"</definedName>
    <definedName name="FDD_168_2" hidden="1">"E36891"</definedName>
    <definedName name="FDD_169_0" hidden="1">"A30681"</definedName>
    <definedName name="FDD_169_1" hidden="1">"A31047"</definedName>
    <definedName name="FDD_169_10" hidden="1">"A34334"</definedName>
    <definedName name="FDD_169_11" hidden="1">"A34699"</definedName>
    <definedName name="FDD_169_12" hidden="1">"A35064"</definedName>
    <definedName name="FDD_169_13" hidden="1">"A35430"</definedName>
    <definedName name="FDD_169_14" hidden="1">"A35795"</definedName>
    <definedName name="FDD_169_15" hidden="1">"A36160"</definedName>
    <definedName name="FDD_169_2" hidden="1">"A31412"</definedName>
    <definedName name="FDD_169_3" hidden="1">"A31777"</definedName>
    <definedName name="FDD_169_4" hidden="1">"A32142"</definedName>
    <definedName name="FDD_169_5" hidden="1">"A32508"</definedName>
    <definedName name="FDD_169_6" hidden="1">"A32873"</definedName>
    <definedName name="FDD_169_7" hidden="1">"A33238"</definedName>
    <definedName name="FDD_169_8" hidden="1">"A33603"</definedName>
    <definedName name="FDD_169_9" hidden="1">"A33969"</definedName>
    <definedName name="FDD_17_0" hidden="1">"A25569"</definedName>
    <definedName name="FDD_170_0" hidden="1">"A30681"</definedName>
    <definedName name="FDD_170_1" hidden="1">"A31047"</definedName>
    <definedName name="FDD_170_10" hidden="1">"A34334"</definedName>
    <definedName name="FDD_170_11" hidden="1">"A34699"</definedName>
    <definedName name="FDD_170_12" hidden="1">"A35064"</definedName>
    <definedName name="FDD_170_13" hidden="1">"A35430"</definedName>
    <definedName name="FDD_170_14" hidden="1">"A35795"</definedName>
    <definedName name="FDD_170_2" hidden="1">"A31412"</definedName>
    <definedName name="FDD_170_3" hidden="1">"A31777"</definedName>
    <definedName name="FDD_170_4" hidden="1">"A32142"</definedName>
    <definedName name="FDD_170_5" hidden="1">"A32508"</definedName>
    <definedName name="FDD_170_6" hidden="1">"A32873"</definedName>
    <definedName name="FDD_170_7" hidden="1">"A33238"</definedName>
    <definedName name="FDD_170_8" hidden="1">"A33603"</definedName>
    <definedName name="FDD_170_9" hidden="1">"A33969"</definedName>
    <definedName name="FDD_171_0" hidden="1">"A30681"</definedName>
    <definedName name="FDD_171_1" hidden="1">"A31047"</definedName>
    <definedName name="FDD_171_10" hidden="1">"A34334"</definedName>
    <definedName name="FDD_171_11" hidden="1">"A34699"</definedName>
    <definedName name="FDD_171_12" hidden="1">"A35064"</definedName>
    <definedName name="FDD_171_13" hidden="1">"A35430"</definedName>
    <definedName name="FDD_171_14" hidden="1">"A35795"</definedName>
    <definedName name="FDD_171_2" hidden="1">"A31412"</definedName>
    <definedName name="FDD_171_3" hidden="1">"A31777"</definedName>
    <definedName name="FDD_171_4" hidden="1">"A32142"</definedName>
    <definedName name="FDD_171_5" hidden="1">"A32508"</definedName>
    <definedName name="FDD_171_6" hidden="1">"A32873"</definedName>
    <definedName name="FDD_171_7" hidden="1">"A33238"</definedName>
    <definedName name="FDD_171_8" hidden="1">"A33603"</definedName>
    <definedName name="FDD_171_9" hidden="1">"A33969"</definedName>
    <definedName name="FDD_172_0" hidden="1">"A30681"</definedName>
    <definedName name="FDD_172_1" hidden="1">"A31047"</definedName>
    <definedName name="FDD_172_10" hidden="1">"A34334"</definedName>
    <definedName name="FDD_172_11" hidden="1">"A34699"</definedName>
    <definedName name="FDD_172_12" hidden="1">"A35064"</definedName>
    <definedName name="FDD_172_13" hidden="1">"A35430"</definedName>
    <definedName name="FDD_172_14" hidden="1">"A35795"</definedName>
    <definedName name="FDD_172_2" hidden="1">"A31412"</definedName>
    <definedName name="FDD_172_3" hidden="1">"A31777"</definedName>
    <definedName name="FDD_172_4" hidden="1">"A32142"</definedName>
    <definedName name="FDD_172_5" hidden="1">"A32508"</definedName>
    <definedName name="FDD_172_6" hidden="1">"A32873"</definedName>
    <definedName name="FDD_172_7" hidden="1">"A33238"</definedName>
    <definedName name="FDD_172_8" hidden="1">"A33603"</definedName>
    <definedName name="FDD_172_9" hidden="1">"A33969"</definedName>
    <definedName name="FDD_173_0" hidden="1">"A30681"</definedName>
    <definedName name="FDD_173_1" hidden="1">"A31047"</definedName>
    <definedName name="FDD_173_10" hidden="1">"A34334"</definedName>
    <definedName name="FDD_173_11" hidden="1">"A34699"</definedName>
    <definedName name="FDD_173_12" hidden="1">"A35064"</definedName>
    <definedName name="FDD_173_13" hidden="1">"A35430"</definedName>
    <definedName name="FDD_173_14" hidden="1">"A35795"</definedName>
    <definedName name="FDD_173_2" hidden="1">"A31412"</definedName>
    <definedName name="FDD_173_3" hidden="1">"A31777"</definedName>
    <definedName name="FDD_173_4" hidden="1">"A32142"</definedName>
    <definedName name="FDD_173_5" hidden="1">"A32508"</definedName>
    <definedName name="FDD_173_6" hidden="1">"A32873"</definedName>
    <definedName name="FDD_173_7" hidden="1">"A33238"</definedName>
    <definedName name="FDD_173_8" hidden="1">"A33603"</definedName>
    <definedName name="FDD_173_9" hidden="1">"A33969"</definedName>
    <definedName name="FDD_174_0" hidden="1">"A30681"</definedName>
    <definedName name="FDD_174_1" hidden="1">"A31047"</definedName>
    <definedName name="FDD_174_10" hidden="1">"A34334"</definedName>
    <definedName name="FDD_174_11" hidden="1">"A34699"</definedName>
    <definedName name="FDD_174_12" hidden="1">"A35064"</definedName>
    <definedName name="FDD_174_13" hidden="1">"A35430"</definedName>
    <definedName name="FDD_174_14" hidden="1">"A35795"</definedName>
    <definedName name="FDD_174_2" hidden="1">"A31412"</definedName>
    <definedName name="FDD_174_3" hidden="1">"A31777"</definedName>
    <definedName name="FDD_174_4" hidden="1">"A32142"</definedName>
    <definedName name="FDD_174_5" hidden="1">"A32508"</definedName>
    <definedName name="FDD_174_6" hidden="1">"A32873"</definedName>
    <definedName name="FDD_174_7" hidden="1">"A33238"</definedName>
    <definedName name="FDD_174_8" hidden="1">"A33603"</definedName>
    <definedName name="FDD_174_9" hidden="1">"A33969"</definedName>
    <definedName name="FDD_175_0" hidden="1">"E36160"</definedName>
    <definedName name="FDD_175_1" hidden="1">"E36525"</definedName>
    <definedName name="FDD_175_2" hidden="1">"E36891"</definedName>
    <definedName name="FDD_176_0" hidden="1">"E36160"</definedName>
    <definedName name="FDD_176_1" hidden="1">"E36525"</definedName>
    <definedName name="FDD_176_2" hidden="1">"E36891"</definedName>
    <definedName name="FDD_177_0" hidden="1">"E36160"</definedName>
    <definedName name="FDD_177_1" hidden="1">"E36525"</definedName>
    <definedName name="FDD_177_2" hidden="1">"E36891"</definedName>
    <definedName name="FDD_178_0" hidden="1">"E36160"</definedName>
    <definedName name="FDD_178_1" hidden="1">"E36525"</definedName>
    <definedName name="FDD_178_2" hidden="1">"E36891"</definedName>
    <definedName name="FDD_179_0" hidden="1">"E36160"</definedName>
    <definedName name="FDD_179_1" hidden="1">"E36525"</definedName>
    <definedName name="FDD_179_2" hidden="1">"E36891"</definedName>
    <definedName name="FDD_18_0" hidden="1">"A25569"</definedName>
    <definedName name="FDD_180_0" hidden="1">"E36160"</definedName>
    <definedName name="FDD_180_1" hidden="1">"E36525"</definedName>
    <definedName name="FDD_180_2" hidden="1">"E36891"</definedName>
    <definedName name="FDD_181_0" hidden="1">"E36160"</definedName>
    <definedName name="FDD_181_1" hidden="1">"E36525"</definedName>
    <definedName name="FDD_181_2" hidden="1">"E36891"</definedName>
    <definedName name="FDD_182_0" hidden="1">"E36160"</definedName>
    <definedName name="FDD_182_1" hidden="1">"E36525"</definedName>
    <definedName name="FDD_182_2" hidden="1">"E36891"</definedName>
    <definedName name="FDD_183_0" hidden="1">"E36160"</definedName>
    <definedName name="FDD_183_1" hidden="1">"E36525"</definedName>
    <definedName name="FDD_183_2" hidden="1">"E36891"</definedName>
    <definedName name="FDD_184_0" hidden="1">"E36160"</definedName>
    <definedName name="FDD_184_1" hidden="1">"E36525"</definedName>
    <definedName name="FDD_184_2" hidden="1">"E36891"</definedName>
    <definedName name="FDD_185_0" hidden="1">"E36160"</definedName>
    <definedName name="FDD_185_1" hidden="1">"E36525"</definedName>
    <definedName name="FDD_185_2" hidden="1">"E36891"</definedName>
    <definedName name="FDD_186_0" hidden="1">"E36160"</definedName>
    <definedName name="FDD_186_1" hidden="1">"E36525"</definedName>
    <definedName name="FDD_186_2" hidden="1">"E36891"</definedName>
    <definedName name="FDD_187_0" hidden="1">"E36160"</definedName>
    <definedName name="FDD_187_1" hidden="1">"E36525"</definedName>
    <definedName name="FDD_187_2" hidden="1">"E36891"</definedName>
    <definedName name="FDD_188_0" hidden="1">"A30681"</definedName>
    <definedName name="FDD_188_1" hidden="1">"A31047"</definedName>
    <definedName name="FDD_188_10" hidden="1">"A34334"</definedName>
    <definedName name="FDD_188_11" hidden="1">"A34699"</definedName>
    <definedName name="FDD_188_12" hidden="1">"A35064"</definedName>
    <definedName name="FDD_188_13" hidden="1">"A35430"</definedName>
    <definedName name="FDD_188_14" hidden="1">"A35795"</definedName>
    <definedName name="FDD_188_2" hidden="1">"A31412"</definedName>
    <definedName name="FDD_188_3" hidden="1">"A31777"</definedName>
    <definedName name="FDD_188_4" hidden="1">"A32142"</definedName>
    <definedName name="FDD_188_5" hidden="1">"A32508"</definedName>
    <definedName name="FDD_188_6" hidden="1">"A32873"</definedName>
    <definedName name="FDD_188_7" hidden="1">"A33238"</definedName>
    <definedName name="FDD_188_8" hidden="1">"A33603"</definedName>
    <definedName name="FDD_188_9" hidden="1">"A33969"</definedName>
    <definedName name="FDD_189_0" hidden="1">"A30681"</definedName>
    <definedName name="FDD_189_1" hidden="1">"A31047"</definedName>
    <definedName name="FDD_189_10" hidden="1">"A34334"</definedName>
    <definedName name="FDD_189_11" hidden="1">"A34699"</definedName>
    <definedName name="FDD_189_12" hidden="1">"A35064"</definedName>
    <definedName name="FDD_189_13" hidden="1">"A35430"</definedName>
    <definedName name="FDD_189_14" hidden="1">"A35795"</definedName>
    <definedName name="FDD_189_2" hidden="1">"A31412"</definedName>
    <definedName name="FDD_189_3" hidden="1">"A31777"</definedName>
    <definedName name="FDD_189_4" hidden="1">"A32142"</definedName>
    <definedName name="FDD_189_5" hidden="1">"A32508"</definedName>
    <definedName name="FDD_189_6" hidden="1">"A32873"</definedName>
    <definedName name="FDD_189_7" hidden="1">"A33238"</definedName>
    <definedName name="FDD_189_8" hidden="1">"A33603"</definedName>
    <definedName name="FDD_189_9" hidden="1">"A33969"</definedName>
    <definedName name="FDD_19_0" hidden="1">"A25569"</definedName>
    <definedName name="FDD_190_0" hidden="1">"A30681"</definedName>
    <definedName name="FDD_190_1" hidden="1">"A31047"</definedName>
    <definedName name="FDD_190_10" hidden="1">"A34334"</definedName>
    <definedName name="FDD_190_11" hidden="1">"A34699"</definedName>
    <definedName name="FDD_190_12" hidden="1">"A35064"</definedName>
    <definedName name="FDD_190_13" hidden="1">"A35430"</definedName>
    <definedName name="FDD_190_14" hidden="1">"A35795"</definedName>
    <definedName name="FDD_190_2" hidden="1">"A31412"</definedName>
    <definedName name="FDD_190_3" hidden="1">"A31777"</definedName>
    <definedName name="FDD_190_4" hidden="1">"A32142"</definedName>
    <definedName name="FDD_190_5" hidden="1">"A32508"</definedName>
    <definedName name="FDD_190_6" hidden="1">"A32873"</definedName>
    <definedName name="FDD_190_7" hidden="1">"A33238"</definedName>
    <definedName name="FDD_190_8" hidden="1">"A33603"</definedName>
    <definedName name="FDD_190_9" hidden="1">"A33969"</definedName>
    <definedName name="FDD_191_0" hidden="1">"A30681"</definedName>
    <definedName name="FDD_191_1" hidden="1">"A31047"</definedName>
    <definedName name="FDD_191_10" hidden="1">"A34334"</definedName>
    <definedName name="FDD_191_11" hidden="1">"A34699"</definedName>
    <definedName name="FDD_191_12" hidden="1">"A35064"</definedName>
    <definedName name="FDD_191_13" hidden="1">"A35430"</definedName>
    <definedName name="FDD_191_14" hidden="1">"A35795"</definedName>
    <definedName name="FDD_191_2" hidden="1">"A31412"</definedName>
    <definedName name="FDD_191_3" hidden="1">"A31777"</definedName>
    <definedName name="FDD_191_4" hidden="1">"A32142"</definedName>
    <definedName name="FDD_191_5" hidden="1">"A32508"</definedName>
    <definedName name="FDD_191_6" hidden="1">"A32873"</definedName>
    <definedName name="FDD_191_7" hidden="1">"A33238"</definedName>
    <definedName name="FDD_191_8" hidden="1">"A33603"</definedName>
    <definedName name="FDD_191_9" hidden="1">"A33969"</definedName>
    <definedName name="FDD_192_0" hidden="1">"E36160"</definedName>
    <definedName name="FDD_192_1" hidden="1">"E36525"</definedName>
    <definedName name="FDD_192_2" hidden="1">"E36891"</definedName>
    <definedName name="FDD_193_0" hidden="1">"A30681"</definedName>
    <definedName name="FDD_193_1" hidden="1">"A31047"</definedName>
    <definedName name="FDD_193_10" hidden="1">"A34334"</definedName>
    <definedName name="FDD_193_11" hidden="1">"A34699"</definedName>
    <definedName name="FDD_193_12" hidden="1">"A35064"</definedName>
    <definedName name="FDD_193_13" hidden="1">"A35430"</definedName>
    <definedName name="FDD_193_14" hidden="1">"A35795"</definedName>
    <definedName name="FDD_193_2" hidden="1">"A31412"</definedName>
    <definedName name="FDD_193_3" hidden="1">"A31777"</definedName>
    <definedName name="FDD_193_4" hidden="1">"A32142"</definedName>
    <definedName name="FDD_193_5" hidden="1">"A32508"</definedName>
    <definedName name="FDD_193_6" hidden="1">"A32873"</definedName>
    <definedName name="FDD_193_7" hidden="1">"A33238"</definedName>
    <definedName name="FDD_193_8" hidden="1">"A33603"</definedName>
    <definedName name="FDD_193_9" hidden="1">"A33969"</definedName>
    <definedName name="FDD_194_0" hidden="1">"A30681"</definedName>
    <definedName name="FDD_194_1" hidden="1">"A31047"</definedName>
    <definedName name="FDD_194_10" hidden="1">"A34334"</definedName>
    <definedName name="FDD_194_11" hidden="1">"A34699"</definedName>
    <definedName name="FDD_194_12" hidden="1">"A35064"</definedName>
    <definedName name="FDD_194_13" hidden="1">"A35430"</definedName>
    <definedName name="FDD_194_14" hidden="1">"A35795"</definedName>
    <definedName name="FDD_194_2" hidden="1">"A31412"</definedName>
    <definedName name="FDD_194_3" hidden="1">"A31777"</definedName>
    <definedName name="FDD_194_4" hidden="1">"A32142"</definedName>
    <definedName name="FDD_194_5" hidden="1">"A32508"</definedName>
    <definedName name="FDD_194_6" hidden="1">"A32873"</definedName>
    <definedName name="FDD_194_7" hidden="1">"A33238"</definedName>
    <definedName name="FDD_194_8" hidden="1">"A33603"</definedName>
    <definedName name="FDD_194_9" hidden="1">"A33969"</definedName>
    <definedName name="FDD_195_0" hidden="1">"A30681"</definedName>
    <definedName name="FDD_195_1" hidden="1">"A31047"</definedName>
    <definedName name="FDD_195_10" hidden="1">"A34334"</definedName>
    <definedName name="FDD_195_11" hidden="1">"A34699"</definedName>
    <definedName name="FDD_195_12" hidden="1">"A35064"</definedName>
    <definedName name="FDD_195_13" hidden="1">"A35430"</definedName>
    <definedName name="FDD_195_14" hidden="1">"A35795"</definedName>
    <definedName name="FDD_195_2" hidden="1">"A31412"</definedName>
    <definedName name="FDD_195_3" hidden="1">"A31777"</definedName>
    <definedName name="FDD_195_4" hidden="1">"A32142"</definedName>
    <definedName name="FDD_195_5" hidden="1">"A32508"</definedName>
    <definedName name="FDD_195_6" hidden="1">"A32873"</definedName>
    <definedName name="FDD_195_7" hidden="1">"A33238"</definedName>
    <definedName name="FDD_195_8" hidden="1">"A33603"</definedName>
    <definedName name="FDD_195_9" hidden="1">"A33969"</definedName>
    <definedName name="FDD_196_0" hidden="1">"E36160"</definedName>
    <definedName name="FDD_196_1" hidden="1">"E36525"</definedName>
    <definedName name="FDD_196_2" hidden="1">"E36891"</definedName>
    <definedName name="FDD_197_0" hidden="1">"A30681"</definedName>
    <definedName name="FDD_197_1" hidden="1">"A31047"</definedName>
    <definedName name="FDD_197_10" hidden="1">"A34334"</definedName>
    <definedName name="FDD_197_11" hidden="1">"A34699"</definedName>
    <definedName name="FDD_197_12" hidden="1">"A35064"</definedName>
    <definedName name="FDD_197_13" hidden="1">"A35430"</definedName>
    <definedName name="FDD_197_14" hidden="1">"A35795"</definedName>
    <definedName name="FDD_197_2" hidden="1">"A31412"</definedName>
    <definedName name="FDD_197_3" hidden="1">"A31777"</definedName>
    <definedName name="FDD_197_4" hidden="1">"A32142"</definedName>
    <definedName name="FDD_197_5" hidden="1">"A32508"</definedName>
    <definedName name="FDD_197_6" hidden="1">"A32873"</definedName>
    <definedName name="FDD_197_7" hidden="1">"A33238"</definedName>
    <definedName name="FDD_197_8" hidden="1">"A33603"</definedName>
    <definedName name="FDD_197_9" hidden="1">"A33969"</definedName>
    <definedName name="FDD_198_0" hidden="1">"A30681"</definedName>
    <definedName name="FDD_198_1" hidden="1">"A31047"</definedName>
    <definedName name="FDD_198_10" hidden="1">"U34334"</definedName>
    <definedName name="FDD_198_11" hidden="1">"U34699"</definedName>
    <definedName name="FDD_198_12" hidden="1">"U35064"</definedName>
    <definedName name="FDD_198_13" hidden="1">"U35430"</definedName>
    <definedName name="FDD_198_14" hidden="1">"U35795"</definedName>
    <definedName name="FDD_198_2" hidden="1">"A31412"</definedName>
    <definedName name="FDD_198_3" hidden="1">"U31777"</definedName>
    <definedName name="FDD_198_4" hidden="1">"U32142"</definedName>
    <definedName name="FDD_198_5" hidden="1">"U32508"</definedName>
    <definedName name="FDD_198_6" hidden="1">"U32873"</definedName>
    <definedName name="FDD_198_7" hidden="1">"U33238"</definedName>
    <definedName name="FDD_198_8" hidden="1">"U33603"</definedName>
    <definedName name="FDD_198_9" hidden="1">"U33969"</definedName>
    <definedName name="FDD_199_0" hidden="1">"E36160"</definedName>
    <definedName name="FDD_199_1" hidden="1">"E36525"</definedName>
    <definedName name="FDD_199_2" hidden="1">"E36891"</definedName>
    <definedName name="FDD_2_0" hidden="1">"A25569"</definedName>
    <definedName name="FDD_20_0" hidden="1">"A25569"</definedName>
    <definedName name="FDD_200_0" hidden="1">"E36160"</definedName>
    <definedName name="FDD_200_1" hidden="1">"E36525"</definedName>
    <definedName name="FDD_200_2" hidden="1">"E36891"</definedName>
    <definedName name="FDD_201_0" hidden="1">"A30681"</definedName>
    <definedName name="FDD_201_1" hidden="1">"A31047"</definedName>
    <definedName name="FDD_201_10" hidden="1">"A34334"</definedName>
    <definedName name="FDD_201_11" hidden="1">"A34699"</definedName>
    <definedName name="FDD_201_12" hidden="1">"A35064"</definedName>
    <definedName name="FDD_201_13" hidden="1">"A35430"</definedName>
    <definedName name="FDD_201_14" hidden="1">"A35795"</definedName>
    <definedName name="FDD_201_2" hidden="1">"A31412"</definedName>
    <definedName name="FDD_201_3" hidden="1">"A31777"</definedName>
    <definedName name="FDD_201_4" hidden="1">"A32142"</definedName>
    <definedName name="FDD_201_5" hidden="1">"A32508"</definedName>
    <definedName name="FDD_201_6" hidden="1">"A32873"</definedName>
    <definedName name="FDD_201_7" hidden="1">"A33238"</definedName>
    <definedName name="FDD_201_8" hidden="1">"A33603"</definedName>
    <definedName name="FDD_201_9" hidden="1">"A33969"</definedName>
    <definedName name="FDD_202_0" hidden="1">"A30681"</definedName>
    <definedName name="FDD_202_1" hidden="1">"A31047"</definedName>
    <definedName name="FDD_202_10" hidden="1">"A34334"</definedName>
    <definedName name="FDD_202_11" hidden="1">"A34699"</definedName>
    <definedName name="FDD_202_12" hidden="1">"A35064"</definedName>
    <definedName name="FDD_202_13" hidden="1">"A35430"</definedName>
    <definedName name="FDD_202_14" hidden="1">"A35795"</definedName>
    <definedName name="FDD_202_2" hidden="1">"A31412"</definedName>
    <definedName name="FDD_202_3" hidden="1">"A31777"</definedName>
    <definedName name="FDD_202_4" hidden="1">"A32142"</definedName>
    <definedName name="FDD_202_5" hidden="1">"A32508"</definedName>
    <definedName name="FDD_202_6" hidden="1">"A32873"</definedName>
    <definedName name="FDD_202_7" hidden="1">"A33238"</definedName>
    <definedName name="FDD_202_8" hidden="1">"A33603"</definedName>
    <definedName name="FDD_202_9" hidden="1">"A33969"</definedName>
    <definedName name="FDD_203_0" hidden="1">"E36160"</definedName>
    <definedName name="FDD_203_1" hidden="1">"E36525"</definedName>
    <definedName name="FDD_203_2" hidden="1">"E36891"</definedName>
    <definedName name="FDD_204_0" hidden="1">"A25569"</definedName>
    <definedName name="FDD_204_1" hidden="1">"R36525"</definedName>
    <definedName name="FDD_204_2" hidden="1">"E36891"</definedName>
    <definedName name="FDD_205_0" hidden="1">"A25569"</definedName>
    <definedName name="FDD_205_1" hidden="1">"E36525"</definedName>
    <definedName name="FDD_205_2" hidden="1">"E36891"</definedName>
    <definedName name="FDD_206_0" hidden="1">"A25569"</definedName>
    <definedName name="FDD_206_1" hidden="1">"E36525"</definedName>
    <definedName name="FDD_206_2" hidden="1">"E36891"</definedName>
    <definedName name="FDD_207_0" hidden="1">"A25569"</definedName>
    <definedName name="FDD_207_1" hidden="1">"E36525"</definedName>
    <definedName name="FDD_207_2" hidden="1">"E36891"</definedName>
    <definedName name="FDD_208_0" hidden="1">"E36160"</definedName>
    <definedName name="FDD_208_1" hidden="1">"E36525"</definedName>
    <definedName name="FDD_208_2" hidden="1">"E36891"</definedName>
    <definedName name="FDD_209_0" hidden="1">"A25569"</definedName>
    <definedName name="FDD_209_1" hidden="1">"R36525"</definedName>
    <definedName name="FDD_209_2" hidden="1">"R36891"</definedName>
    <definedName name="FDD_21_0" hidden="1">"A25569"</definedName>
    <definedName name="FDD_210_0" hidden="1">"A25569"</definedName>
    <definedName name="FDD_210_1" hidden="1">"U35795"</definedName>
    <definedName name="FDD_211_0" hidden="1">"A25569"</definedName>
    <definedName name="FDD_211_1" hidden="1">"E36525"</definedName>
    <definedName name="FDD_211_2" hidden="1">"E36891"</definedName>
    <definedName name="FDD_212_0" hidden="1">"A25569"</definedName>
    <definedName name="FDD_212_1" hidden="1">"R36525"</definedName>
    <definedName name="FDD_212_2" hidden="1">"E36891"</definedName>
    <definedName name="FDD_213_0" hidden="1">"E36160"</definedName>
    <definedName name="FDD_213_1" hidden="1">"E36525"</definedName>
    <definedName name="FDD_213_2" hidden="1">"E36891"</definedName>
    <definedName name="FDD_214_0" hidden="1">"A25569"</definedName>
    <definedName name="FDD_214_1" hidden="1">"E36525"</definedName>
    <definedName name="FDD_214_2" hidden="1">"E36891"</definedName>
    <definedName name="FDD_215_0" hidden="1">"A25569"</definedName>
    <definedName name="FDD_216_0" hidden="1">"A25569"</definedName>
    <definedName name="FDD_217_0" hidden="1">"A25569"</definedName>
    <definedName name="FDD_218_0" hidden="1">"E36160"</definedName>
    <definedName name="FDD_218_1" hidden="1">"E36525"</definedName>
    <definedName name="FDD_218_2" hidden="1">"E36891"</definedName>
    <definedName name="FDD_219_0" hidden="1">"U25569"</definedName>
    <definedName name="FDD_219_1" hidden="1">"E36525"</definedName>
    <definedName name="FDD_219_2" hidden="1">"E36891"</definedName>
    <definedName name="FDD_22_0" hidden="1">"A25569"</definedName>
    <definedName name="FDD_220_0" hidden="1">"U25569"</definedName>
    <definedName name="FDD_221_0" hidden="1">"U25569"</definedName>
    <definedName name="FDD_222_0" hidden="1">"U25569"</definedName>
    <definedName name="FDD_223_0" hidden="1">"E36160"</definedName>
    <definedName name="FDD_223_1" hidden="1">"E36525"</definedName>
    <definedName name="FDD_223_2" hidden="1">"E36891"</definedName>
    <definedName name="FDD_224_0" hidden="1">"A25569"</definedName>
    <definedName name="FDD_224_1" hidden="1">"E36525"</definedName>
    <definedName name="FDD_224_2" hidden="1">"E36891"</definedName>
    <definedName name="FDD_225_0" hidden="1">"A25569"</definedName>
    <definedName name="FDD_226_0" hidden="1">"A25569"</definedName>
    <definedName name="FDD_227_0" hidden="1">"A25569"</definedName>
    <definedName name="FDD_228_0" hidden="1">"E36160"</definedName>
    <definedName name="FDD_228_1" hidden="1">"E36525"</definedName>
    <definedName name="FDD_228_2" hidden="1">"E36891"</definedName>
    <definedName name="FDD_229_0" hidden="1">"A25569"</definedName>
    <definedName name="FDD_229_1" hidden="1">"E36525"</definedName>
    <definedName name="FDD_229_2" hidden="1">"E36891"</definedName>
    <definedName name="FDD_23_0" hidden="1">"A25569"</definedName>
    <definedName name="FDD_230_0" hidden="1">"A25569"</definedName>
    <definedName name="FDD_231_0" hidden="1">"A25569"</definedName>
    <definedName name="FDD_232_0" hidden="1">"A25569"</definedName>
    <definedName name="FDD_233_0" hidden="1">"A25569"</definedName>
    <definedName name="FDD_234_0" hidden="1">"A25569"</definedName>
    <definedName name="FDD_234_1" hidden="1">"E36525"</definedName>
    <definedName name="FDD_234_2" hidden="1">"E36891"</definedName>
    <definedName name="FDD_235_0" hidden="1">"A25569"</definedName>
    <definedName name="FDD_236_0" hidden="1">"A25569"</definedName>
    <definedName name="FDD_237_0" hidden="1">"A25569"</definedName>
    <definedName name="FDD_238_0" hidden="1">"A30681"</definedName>
    <definedName name="FDD_238_1" hidden="1">"A31047"</definedName>
    <definedName name="FDD_238_10" hidden="1">"A34334"</definedName>
    <definedName name="FDD_238_11" hidden="1">"A34699"</definedName>
    <definedName name="FDD_238_12" hidden="1">"A35064"</definedName>
    <definedName name="FDD_238_13" hidden="1">"A35430"</definedName>
    <definedName name="FDD_238_14" hidden="1">"A35795"</definedName>
    <definedName name="FDD_238_2" hidden="1">"A31412"</definedName>
    <definedName name="FDD_238_3" hidden="1">"A31777"</definedName>
    <definedName name="FDD_238_4" hidden="1">"A32142"</definedName>
    <definedName name="FDD_238_5" hidden="1">"A32508"</definedName>
    <definedName name="FDD_238_6" hidden="1">"A32873"</definedName>
    <definedName name="FDD_238_7" hidden="1">"A33238"</definedName>
    <definedName name="FDD_238_8" hidden="1">"A33603"</definedName>
    <definedName name="FDD_238_9" hidden="1">"A33969"</definedName>
    <definedName name="FDD_239_0" hidden="1">"E36160"</definedName>
    <definedName name="FDD_239_1" hidden="1">"E36525"</definedName>
    <definedName name="FDD_239_2" hidden="1">"E36891"</definedName>
    <definedName name="FDD_24_0" hidden="1">"A25569"</definedName>
    <definedName name="FDD_240_0" hidden="1">"A25569"</definedName>
    <definedName name="FDD_241_0" hidden="1">"A25569"</definedName>
    <definedName name="FDD_242_0" hidden="1">"A25569"</definedName>
    <definedName name="FDD_243_0" hidden="1">"E36160"</definedName>
    <definedName name="FDD_243_1" hidden="1">"E36525"</definedName>
    <definedName name="FDD_243_2" hidden="1">"E36891"</definedName>
    <definedName name="FDD_244_0" hidden="1">"A25569"</definedName>
    <definedName name="FDD_245_0" hidden="1">"A25569"</definedName>
    <definedName name="FDD_246_0" hidden="1">"A25569"</definedName>
    <definedName name="FDD_247_0" hidden="1">"A25569"</definedName>
    <definedName name="FDD_248_0" hidden="1">"E36160"</definedName>
    <definedName name="FDD_248_1" hidden="1">"E36525"</definedName>
    <definedName name="FDD_248_2" hidden="1">"E36891"</definedName>
    <definedName name="FDD_249_0" hidden="1">"A25569"</definedName>
    <definedName name="FDD_249_1" hidden="1">"R31047"</definedName>
    <definedName name="FDD_249_10" hidden="1">"R34334"</definedName>
    <definedName name="FDD_249_11" hidden="1">"R34699"</definedName>
    <definedName name="FDD_249_12" hidden="1">"R35064"</definedName>
    <definedName name="FDD_249_13" hidden="1">"R35430"</definedName>
    <definedName name="FDD_249_14" hidden="1">"R35795"</definedName>
    <definedName name="FDD_249_2" hidden="1">"R31412"</definedName>
    <definedName name="FDD_249_3" hidden="1">"R31777"</definedName>
    <definedName name="FDD_249_4" hidden="1">"R32142"</definedName>
    <definedName name="FDD_249_5" hidden="1">"R32508"</definedName>
    <definedName name="FDD_249_6" hidden="1">"R32873"</definedName>
    <definedName name="FDD_249_7" hidden="1">"R33238"</definedName>
    <definedName name="FDD_249_8" hidden="1">"R33603"</definedName>
    <definedName name="FDD_249_9" hidden="1">"R33969"</definedName>
    <definedName name="FDD_25_0" hidden="1">"A25569"</definedName>
    <definedName name="FDD_250_0" hidden="1">"A25569"</definedName>
    <definedName name="FDD_251_0" hidden="1">"A25569"</definedName>
    <definedName name="FDD_252_0" hidden="1">"A25569"</definedName>
    <definedName name="FDD_253_0" hidden="1">"E36160"</definedName>
    <definedName name="FDD_253_1" hidden="1">"E36525"</definedName>
    <definedName name="FDD_253_2" hidden="1">"E36891"</definedName>
    <definedName name="FDD_254_0" hidden="1">"E36160"</definedName>
    <definedName name="FDD_254_1" hidden="1">"E36525"</definedName>
    <definedName name="FDD_254_2" hidden="1">"E36891"</definedName>
    <definedName name="FDD_255_0" hidden="1">"E36160"</definedName>
    <definedName name="FDD_255_1" hidden="1">"E36525"</definedName>
    <definedName name="FDD_255_2" hidden="1">"E36891"</definedName>
    <definedName name="FDD_256_0" hidden="1">"U36160"</definedName>
    <definedName name="FDD_256_1" hidden="1">"U36525"</definedName>
    <definedName name="FDD_256_2" hidden="1">"U36891"</definedName>
    <definedName name="FDD_257_0" hidden="1">"E36160"</definedName>
    <definedName name="FDD_257_1" hidden="1">"E36525"</definedName>
    <definedName name="FDD_257_2" hidden="1">"E36891"</definedName>
    <definedName name="FDD_258_0" hidden="1">"E36160"</definedName>
    <definedName name="FDD_258_1" hidden="1">"E36525"</definedName>
    <definedName name="FDD_258_2" hidden="1">"E36891"</definedName>
    <definedName name="FDD_259_0" hidden="1">"E36160"</definedName>
    <definedName name="FDD_259_1" hidden="1">"E36525"</definedName>
    <definedName name="FDD_259_2" hidden="1">"E36891"</definedName>
    <definedName name="FDD_26_0" hidden="1">"A25569"</definedName>
    <definedName name="FDD_260_0" hidden="1">"E36160"</definedName>
    <definedName name="FDD_260_1" hidden="1">"E36525"</definedName>
    <definedName name="FDD_260_2" hidden="1">"E36891"</definedName>
    <definedName name="FDD_261_0" hidden="1">"E36160"</definedName>
    <definedName name="FDD_261_1" hidden="1">"E36525"</definedName>
    <definedName name="FDD_261_2" hidden="1">"E36891"</definedName>
    <definedName name="FDD_262_0" hidden="1">"A25569"</definedName>
    <definedName name="FDD_263_0" hidden="1">"A25569"</definedName>
    <definedName name="FDD_264_0" hidden="1">"E36160"</definedName>
    <definedName name="FDD_264_1" hidden="1">"E36525"</definedName>
    <definedName name="FDD_264_2" hidden="1">"E36891"</definedName>
    <definedName name="FDD_265_0" hidden="1">"A25569"</definedName>
    <definedName name="FDD_265_1" hidden="1">"E36525"</definedName>
    <definedName name="FDD_265_2" hidden="1">"E36891"</definedName>
    <definedName name="FDD_266_0" hidden="1">"A25569"</definedName>
    <definedName name="FDD_266_1" hidden="1">"E36525"</definedName>
    <definedName name="FDD_266_2" hidden="1">"E36891"</definedName>
    <definedName name="FDD_267_0" hidden="1">"A25569"</definedName>
    <definedName name="FDD_267_1" hidden="1">"E36525"</definedName>
    <definedName name="FDD_267_2" hidden="1">"E36891"</definedName>
    <definedName name="FDD_268_0" hidden="1">"A25569"</definedName>
    <definedName name="FDD_268_1" hidden="1">"E36525"</definedName>
    <definedName name="FDD_268_2" hidden="1">"E36891"</definedName>
    <definedName name="FDD_269_0" hidden="1">"E36160"</definedName>
    <definedName name="FDD_269_1" hidden="1">"E36525"</definedName>
    <definedName name="FDD_269_2" hidden="1">"E36891"</definedName>
    <definedName name="FDD_27_0" hidden="1">"A25569"</definedName>
    <definedName name="FDD_270_0" hidden="1">"A25569"</definedName>
    <definedName name="FDD_270_1" hidden="1">"E36525"</definedName>
    <definedName name="FDD_270_2" hidden="1">"E36891"</definedName>
    <definedName name="FDD_271_0" hidden="1">"A25569"</definedName>
    <definedName name="FDD_271_1" hidden="1">"E36525"</definedName>
    <definedName name="FDD_271_2" hidden="1">"E36891"</definedName>
    <definedName name="FDD_272_0" hidden="1">"A25569"</definedName>
    <definedName name="FDD_272_1" hidden="1">"E36525"</definedName>
    <definedName name="FDD_272_2" hidden="1">"E36891"</definedName>
    <definedName name="FDD_273_0" hidden="1">"A25569"</definedName>
    <definedName name="FDD_274_0" hidden="1">"E36160"</definedName>
    <definedName name="FDD_274_1" hidden="1">"E36525"</definedName>
    <definedName name="FDD_274_2" hidden="1">"E36891"</definedName>
    <definedName name="FDD_275_0" hidden="1">"A25569"</definedName>
    <definedName name="FDD_276_0" hidden="1">"A25569"</definedName>
    <definedName name="FDD_277_0" hidden="1">"A25569"</definedName>
    <definedName name="FDD_278_0" hidden="1">"A25569"</definedName>
    <definedName name="FDD_279_0" hidden="1">"E36160"</definedName>
    <definedName name="FDD_279_1" hidden="1">"E36525"</definedName>
    <definedName name="FDD_279_2" hidden="1">"E36891"</definedName>
    <definedName name="FDD_28_0" hidden="1">"A25569"</definedName>
    <definedName name="FDD_280_0" hidden="1">"E36160"</definedName>
    <definedName name="FDD_280_1" hidden="1">"E36525"</definedName>
    <definedName name="FDD_280_2" hidden="1">"E36891"</definedName>
    <definedName name="FDD_281_0" hidden="1">"E36160"</definedName>
    <definedName name="FDD_281_1" hidden="1">"E36525"</definedName>
    <definedName name="FDD_281_2" hidden="1">"E36891"</definedName>
    <definedName name="FDD_282_0" hidden="1">"E36160"</definedName>
    <definedName name="FDD_282_1" hidden="1">"E36525"</definedName>
    <definedName name="FDD_282_2" hidden="1">"E36891"</definedName>
    <definedName name="FDD_283_0" hidden="1">"E36160"</definedName>
    <definedName name="FDD_283_1" hidden="1">"E36525"</definedName>
    <definedName name="FDD_283_2" hidden="1">"E36891"</definedName>
    <definedName name="FDD_284_0" hidden="1">"A30681"</definedName>
    <definedName name="FDD_284_1" hidden="1">"A31047"</definedName>
    <definedName name="FDD_284_10" hidden="1">"A34334"</definedName>
    <definedName name="FDD_284_11" hidden="1">"A34699"</definedName>
    <definedName name="FDD_284_12" hidden="1">"A35064"</definedName>
    <definedName name="FDD_284_13" hidden="1">"A35430"</definedName>
    <definedName name="FDD_284_14" hidden="1">"A35795"</definedName>
    <definedName name="FDD_284_2" hidden="1">"A31412"</definedName>
    <definedName name="FDD_284_3" hidden="1">"A31777"</definedName>
    <definedName name="FDD_284_4" hidden="1">"A32142"</definedName>
    <definedName name="FDD_284_5" hidden="1">"A32508"</definedName>
    <definedName name="FDD_284_6" hidden="1">"A32873"</definedName>
    <definedName name="FDD_284_7" hidden="1">"A33238"</definedName>
    <definedName name="FDD_284_8" hidden="1">"A33603"</definedName>
    <definedName name="FDD_284_9" hidden="1">"A33969"</definedName>
    <definedName name="FDD_285_0" hidden="1">"A35795"</definedName>
    <definedName name="FDD_285_1" hidden="1">"E36160"</definedName>
    <definedName name="FDD_285_10" hidden="1">"E39447"</definedName>
    <definedName name="FDD_285_11" hidden="1">"E39813"</definedName>
    <definedName name="FDD_285_12" hidden="1">"E40178"</definedName>
    <definedName name="FDD_285_13" hidden="1">"E40543"</definedName>
    <definedName name="FDD_285_14" hidden="1">"E40908"</definedName>
    <definedName name="FDD_285_15" hidden="1">"E41274"</definedName>
    <definedName name="FDD_285_16" hidden="1">"E41639"</definedName>
    <definedName name="FDD_285_17" hidden="1">"E42004"</definedName>
    <definedName name="FDD_285_18" hidden="1">"E42369"</definedName>
    <definedName name="FDD_285_19" hidden="1">"E42735"</definedName>
    <definedName name="FDD_285_2" hidden="1">"E36525"</definedName>
    <definedName name="FDD_285_20" hidden="1">"E43100"</definedName>
    <definedName name="FDD_285_21" hidden="1">"E43465"</definedName>
    <definedName name="FDD_285_22" hidden="1">"E43830"</definedName>
    <definedName name="FDD_285_23" hidden="1">"E44196"</definedName>
    <definedName name="FDD_285_24" hidden="1">"E44561"</definedName>
    <definedName name="FDD_285_25" hidden="1">"E44926"</definedName>
    <definedName name="FDD_285_3" hidden="1">"E36891"</definedName>
    <definedName name="FDD_285_4" hidden="1">"E37256"</definedName>
    <definedName name="FDD_285_5" hidden="1">"E37621"</definedName>
    <definedName name="FDD_285_6" hidden="1">"E37986"</definedName>
    <definedName name="FDD_285_7" hidden="1">"E38352"</definedName>
    <definedName name="FDD_285_8" hidden="1">"E38717"</definedName>
    <definedName name="FDD_285_9" hidden="1">"E39082"</definedName>
    <definedName name="FDD_286_0" hidden="1">"E36160"</definedName>
    <definedName name="FDD_286_1" hidden="1">"E36525"</definedName>
    <definedName name="FDD_286_10" hidden="1">"E39813"</definedName>
    <definedName name="FDD_286_11" hidden="1">"E40178"</definedName>
    <definedName name="FDD_286_12" hidden="1">"E40543"</definedName>
    <definedName name="FDD_286_13" hidden="1">"E40908"</definedName>
    <definedName name="FDD_286_14" hidden="1">"E41274"</definedName>
    <definedName name="FDD_286_15" hidden="1">"E41639"</definedName>
    <definedName name="FDD_286_16" hidden="1">"E42004"</definedName>
    <definedName name="FDD_286_17" hidden="1">"E42369"</definedName>
    <definedName name="FDD_286_18" hidden="1">"E42735"</definedName>
    <definedName name="FDD_286_19" hidden="1">"E43100"</definedName>
    <definedName name="FDD_286_2" hidden="1">"E36891"</definedName>
    <definedName name="FDD_286_20" hidden="1">"E43465"</definedName>
    <definedName name="FDD_286_21" hidden="1">"E43830"</definedName>
    <definedName name="FDD_286_22" hidden="1">"E44196"</definedName>
    <definedName name="FDD_286_23" hidden="1">"E44561"</definedName>
    <definedName name="FDD_286_24" hidden="1">"E44926"</definedName>
    <definedName name="FDD_286_3" hidden="1">"E37256"</definedName>
    <definedName name="FDD_286_4" hidden="1">"E37621"</definedName>
    <definedName name="FDD_286_5" hidden="1">"E37986"</definedName>
    <definedName name="FDD_286_6" hidden="1">"E38352"</definedName>
    <definedName name="FDD_286_7" hidden="1">"E38717"</definedName>
    <definedName name="FDD_286_8" hidden="1">"E39082"</definedName>
    <definedName name="FDD_286_9" hidden="1">"E39447"</definedName>
    <definedName name="FDD_287_0" hidden="1">"A25569"</definedName>
    <definedName name="FDD_288_0" hidden="1">"A25569"</definedName>
    <definedName name="FDD_289_0" hidden="1">"A36890"</definedName>
    <definedName name="FDD_289_1" hidden="1">"E36525"</definedName>
    <definedName name="FDD_289_2" hidden="1">"E36891"</definedName>
    <definedName name="FDD_29_0" hidden="1">"A25569"</definedName>
    <definedName name="FDD_290_0" hidden="1">"A36890"</definedName>
    <definedName name="FDD_290_1" hidden="1">"E36525"</definedName>
    <definedName name="FDD_290_2" hidden="1">"E36891"</definedName>
    <definedName name="FDD_291_0" hidden="1">"A25569"</definedName>
    <definedName name="FDD_291_1" hidden="1">"E36525"</definedName>
    <definedName name="FDD_291_2" hidden="1">"E36891"</definedName>
    <definedName name="FDD_292_0" hidden="1">"E36160"</definedName>
    <definedName name="FDD_292_1" hidden="1">"E36525"</definedName>
    <definedName name="FDD_292_2" hidden="1">"E36891"</definedName>
    <definedName name="FDD_293_0" hidden="1">"E36160"</definedName>
    <definedName name="FDD_293_1" hidden="1">"E36525"</definedName>
    <definedName name="FDD_293_2" hidden="1">"E36891"</definedName>
    <definedName name="FDD_294_0" hidden="1">"A36891"</definedName>
    <definedName name="FDD_295_0" hidden="1">"U25569"</definedName>
    <definedName name="FDD_296_0" hidden="1">"A25569"</definedName>
    <definedName name="FDD_297_0" hidden="1">"A25569"</definedName>
    <definedName name="FDD_298_0" hidden="1">"A25569"</definedName>
    <definedName name="FDD_299_0" hidden="1">"A25569"</definedName>
    <definedName name="FDD_299_1" hidden="1">"E36160"</definedName>
    <definedName name="FDD_299_10" hidden="1">"E39447"</definedName>
    <definedName name="FDD_299_11" hidden="1">"E39813"</definedName>
    <definedName name="FDD_299_12" hidden="1">"E40178"</definedName>
    <definedName name="FDD_299_13" hidden="1">"E40543"</definedName>
    <definedName name="FDD_299_14" hidden="1">"E40908"</definedName>
    <definedName name="FDD_299_15" hidden="1">"E41274"</definedName>
    <definedName name="FDD_299_16" hidden="1">"E41639"</definedName>
    <definedName name="FDD_299_17" hidden="1">"E42004"</definedName>
    <definedName name="FDD_299_18" hidden="1">"E42369"</definedName>
    <definedName name="FDD_299_19" hidden="1">"E42735"</definedName>
    <definedName name="FDD_299_2" hidden="1">"E36525"</definedName>
    <definedName name="FDD_299_20" hidden="1">"E43100"</definedName>
    <definedName name="FDD_299_21" hidden="1">"E43465"</definedName>
    <definedName name="FDD_299_22" hidden="1">"E43830"</definedName>
    <definedName name="FDD_299_23" hidden="1">"E44196"</definedName>
    <definedName name="FDD_299_24" hidden="1">"E44561"</definedName>
    <definedName name="FDD_299_25" hidden="1">"E44926"</definedName>
    <definedName name="FDD_299_26" hidden="1">"E45291"</definedName>
    <definedName name="FDD_299_3" hidden="1">"E36891"</definedName>
    <definedName name="FDD_299_4" hidden="1">"E37256"</definedName>
    <definedName name="FDD_299_5" hidden="1">"E37621"</definedName>
    <definedName name="FDD_299_6" hidden="1">"E37986"</definedName>
    <definedName name="FDD_299_7" hidden="1">"E38352"</definedName>
    <definedName name="FDD_299_8" hidden="1">"E38717"</definedName>
    <definedName name="FDD_299_9" hidden="1">"E39082"</definedName>
    <definedName name="FDD_3_0" hidden="1">"A25569"</definedName>
    <definedName name="FDD_30_0" hidden="1">"A25569"</definedName>
    <definedName name="FDD_300_0" hidden="1">"U25569"</definedName>
    <definedName name="FDD_300_1" hidden="1">"E36525"</definedName>
    <definedName name="FDD_300_10" hidden="1">"U39813"</definedName>
    <definedName name="FDD_300_11" hidden="1">"U40178"</definedName>
    <definedName name="FDD_300_12" hidden="1">"U40543"</definedName>
    <definedName name="FDD_300_13" hidden="1">"U40908"</definedName>
    <definedName name="FDD_300_14" hidden="1">"U41274"</definedName>
    <definedName name="FDD_300_15" hidden="1">"U41639"</definedName>
    <definedName name="FDD_300_16" hidden="1">"U42004"</definedName>
    <definedName name="FDD_300_17" hidden="1">"U42369"</definedName>
    <definedName name="FDD_300_18" hidden="1">"U42735"</definedName>
    <definedName name="FDD_300_19" hidden="1">"U43100"</definedName>
    <definedName name="FDD_300_2" hidden="1">"R36891"</definedName>
    <definedName name="FDD_300_20" hidden="1">"U43465"</definedName>
    <definedName name="FDD_300_21" hidden="1">"U43830"</definedName>
    <definedName name="FDD_300_22" hidden="1">"U44196"</definedName>
    <definedName name="FDD_300_23" hidden="1">"U44561"</definedName>
    <definedName name="FDD_300_24" hidden="1">"U44926"</definedName>
    <definedName name="FDD_300_25" hidden="1">"U45291"</definedName>
    <definedName name="FDD_300_3" hidden="1">"U37256"</definedName>
    <definedName name="FDD_300_4" hidden="1">"U37621"</definedName>
    <definedName name="FDD_300_5" hidden="1">"U37986"</definedName>
    <definedName name="FDD_300_6" hidden="1">"U38352"</definedName>
    <definedName name="FDD_300_7" hidden="1">"U38717"</definedName>
    <definedName name="FDD_300_8" hidden="1">"U39082"</definedName>
    <definedName name="FDD_300_9" hidden="1">"U39447"</definedName>
    <definedName name="FDD_301_0" hidden="1">"U35795"</definedName>
    <definedName name="FDD_301_1" hidden="1">"U36160"</definedName>
    <definedName name="FDD_301_10" hidden="1">"E39447"</definedName>
    <definedName name="FDD_301_11" hidden="1">"E39813"</definedName>
    <definedName name="FDD_301_12" hidden="1">"E40178"</definedName>
    <definedName name="FDD_301_13" hidden="1">"E40543"</definedName>
    <definedName name="FDD_301_14" hidden="1">"E40908"</definedName>
    <definedName name="FDD_301_15" hidden="1">"E41274"</definedName>
    <definedName name="FDD_301_16" hidden="1">"E41639"</definedName>
    <definedName name="FDD_301_17" hidden="1">"E42004"</definedName>
    <definedName name="FDD_301_18" hidden="1">"E42369"</definedName>
    <definedName name="FDD_301_19" hidden="1">"E42735"</definedName>
    <definedName name="FDD_301_2" hidden="1">"U36525"</definedName>
    <definedName name="FDD_301_20" hidden="1">"E43100"</definedName>
    <definedName name="FDD_301_21" hidden="1">"E43465"</definedName>
    <definedName name="FDD_301_22" hidden="1">"E43830"</definedName>
    <definedName name="FDD_301_23" hidden="1">"E44196"</definedName>
    <definedName name="FDD_301_24" hidden="1">"E44561"</definedName>
    <definedName name="FDD_301_25" hidden="1">"E44926"</definedName>
    <definedName name="FDD_301_3" hidden="1">"E36891"</definedName>
    <definedName name="FDD_301_4" hidden="1">"E37256"</definedName>
    <definedName name="FDD_301_5" hidden="1">"E37621"</definedName>
    <definedName name="FDD_301_6" hidden="1">"E37986"</definedName>
    <definedName name="FDD_301_7" hidden="1">"E38352"</definedName>
    <definedName name="FDD_301_8" hidden="1">"E38717"</definedName>
    <definedName name="FDD_301_9" hidden="1">"E39082"</definedName>
    <definedName name="FDD_302_0" hidden="1">"U35795"</definedName>
    <definedName name="FDD_302_1" hidden="1">"U36160"</definedName>
    <definedName name="FDD_302_10" hidden="1">"E39813"</definedName>
    <definedName name="FDD_302_11" hidden="1">"E40178"</definedName>
    <definedName name="FDD_302_12" hidden="1">"E40543"</definedName>
    <definedName name="FDD_302_13" hidden="1">"E40908"</definedName>
    <definedName name="FDD_302_14" hidden="1">"E41274"</definedName>
    <definedName name="FDD_302_15" hidden="1">"E41639"</definedName>
    <definedName name="FDD_302_16" hidden="1">"E42004"</definedName>
    <definedName name="FDD_302_17" hidden="1">"E42369"</definedName>
    <definedName name="FDD_302_18" hidden="1">"E42735"</definedName>
    <definedName name="FDD_302_19" hidden="1">"E43100"</definedName>
    <definedName name="FDD_302_2" hidden="1">"U36525"</definedName>
    <definedName name="FDD_302_20" hidden="1">"E43465"</definedName>
    <definedName name="FDD_302_21" hidden="1">"E43830"</definedName>
    <definedName name="FDD_302_22" hidden="1">"E44196"</definedName>
    <definedName name="FDD_302_23" hidden="1">"E44561"</definedName>
    <definedName name="FDD_302_24" hidden="1">"E44926"</definedName>
    <definedName name="FDD_302_3" hidden="1">"E37256"</definedName>
    <definedName name="FDD_302_4" hidden="1">"E37621"</definedName>
    <definedName name="FDD_302_5" hidden="1">"E37986"</definedName>
    <definedName name="FDD_302_6" hidden="1">"E38352"</definedName>
    <definedName name="FDD_302_7" hidden="1">"E38717"</definedName>
    <definedName name="FDD_302_8" hidden="1">"E39082"</definedName>
    <definedName name="FDD_302_9" hidden="1">"E39447"</definedName>
    <definedName name="FDD_303_0" hidden="1">"U35795"</definedName>
    <definedName name="FDD_303_1" hidden="1">"U36160"</definedName>
    <definedName name="FDD_303_2" hidden="1">"U36525"</definedName>
    <definedName name="FDD_304_0" hidden="1">"U35795"</definedName>
    <definedName name="FDD_304_1" hidden="1">"U36160"</definedName>
    <definedName name="FDD_304_2" hidden="1">"U36525"</definedName>
    <definedName name="FDD_305_0" hidden="1">"A30681"</definedName>
    <definedName name="FDD_305_1" hidden="1">"A31047"</definedName>
    <definedName name="FDD_305_10" hidden="1">"U34334"</definedName>
    <definedName name="FDD_305_11" hidden="1">"U34699"</definedName>
    <definedName name="FDD_305_12" hidden="1">"U35064"</definedName>
    <definedName name="FDD_305_13" hidden="1">"U35430"</definedName>
    <definedName name="FDD_305_14" hidden="1">"U35795"</definedName>
    <definedName name="FDD_305_2" hidden="1">"A31412"</definedName>
    <definedName name="FDD_305_3" hidden="1">"U31777"</definedName>
    <definedName name="FDD_305_4" hidden="1">"U32142"</definedName>
    <definedName name="FDD_305_5" hidden="1">"U32508"</definedName>
    <definedName name="FDD_305_6" hidden="1">"U32873"</definedName>
    <definedName name="FDD_305_7" hidden="1">"U33238"</definedName>
    <definedName name="FDD_305_8" hidden="1">"U33603"</definedName>
    <definedName name="FDD_305_9" hidden="1">"U33969"</definedName>
    <definedName name="FDD_306_0" hidden="1">"U35795"</definedName>
    <definedName name="FDD_306_1" hidden="1">"E36160"</definedName>
    <definedName name="FDD_306_2" hidden="1">"U36525"</definedName>
    <definedName name="FDD_307_0" hidden="1">"A35795"</definedName>
    <definedName name="FDD_307_1" hidden="1">"U36160"</definedName>
    <definedName name="FDD_307_2" hidden="1">"U36525"</definedName>
    <definedName name="FDD_308_0" hidden="1">"A35795"</definedName>
    <definedName name="FDD_309_0" hidden="1">"A25569"</definedName>
    <definedName name="FDD_31_0" hidden="1">"A25569"</definedName>
    <definedName name="FDD_310_0" hidden="1">"A35795"</definedName>
    <definedName name="FDD_311_0" hidden="1">"E25569"</definedName>
    <definedName name="FDD_312_0" hidden="1">"A25569"</definedName>
    <definedName name="FDD_313_0" hidden="1">"A25569"</definedName>
    <definedName name="FDD_315_0" hidden="1">"A25569"</definedName>
    <definedName name="FDD_316_0" hidden="1">"A25569"</definedName>
    <definedName name="FDD_317_0" hidden="1">"A35795"</definedName>
    <definedName name="FDD_317_1" hidden="1">"A36160"</definedName>
    <definedName name="FDD_317_2" hidden="1">"A36525"</definedName>
    <definedName name="FDD_318_0" hidden="1">"A35795"</definedName>
    <definedName name="FDD_318_1" hidden="1">"A36160"</definedName>
    <definedName name="FDD_318_2" hidden="1">"A36525"</definedName>
    <definedName name="FDD_319_0" hidden="1">"A35795"</definedName>
    <definedName name="FDD_319_1" hidden="1">"A36160"</definedName>
    <definedName name="FDD_319_2" hidden="1">"A36525"</definedName>
    <definedName name="FDD_32_0" hidden="1">"A25569"</definedName>
    <definedName name="FDD_320_0" hidden="1">"A35795"</definedName>
    <definedName name="FDD_320_1" hidden="1">"A36160"</definedName>
    <definedName name="FDD_320_2" hidden="1">"A36525"</definedName>
    <definedName name="FDD_321_0" hidden="1">"E35795"</definedName>
    <definedName name="FDD_321_1" hidden="1">"E36160"</definedName>
    <definedName name="FDD_321_2" hidden="1">"E36525"</definedName>
    <definedName name="FDD_322_0" hidden="1">"A35795"</definedName>
    <definedName name="FDD_322_1" hidden="1">"E36160"</definedName>
    <definedName name="FDD_322_2" hidden="1">"E36525"</definedName>
    <definedName name="FDD_323_0" hidden="1">"E35795"</definedName>
    <definedName name="FDD_323_1" hidden="1">"E36160"</definedName>
    <definedName name="FDD_323_2" hidden="1">"E36525"</definedName>
    <definedName name="FDD_324_0" hidden="1">"A36119"</definedName>
    <definedName name="FDD_326_0" hidden="1">"R34334"</definedName>
    <definedName name="FDD_326_1" hidden="1">"E34699"</definedName>
    <definedName name="FDD_326_2" hidden="1">"E35064"</definedName>
    <definedName name="FDD_326_3" hidden="1">"E35430"</definedName>
    <definedName name="FDD_326_4" hidden="1">"E35795"</definedName>
    <definedName name="FDD_326_5" hidden="1">"R36160"</definedName>
    <definedName name="FDD_326_6" hidden="1">"R36525"</definedName>
    <definedName name="FDD_327_0" hidden="1">"A34334"</definedName>
    <definedName name="FDD_327_1" hidden="1">"A34699"</definedName>
    <definedName name="FDD_327_2" hidden="1">"A35064"</definedName>
    <definedName name="FDD_327_3" hidden="1">"A35430"</definedName>
    <definedName name="FDD_327_4" hidden="1">"A35795"</definedName>
    <definedName name="FDD_327_5" hidden="1">"E36160"</definedName>
    <definedName name="FDD_327_6" hidden="1">"E36525"</definedName>
    <definedName name="FDD_328_0" hidden="1">"U25569"</definedName>
    <definedName name="FDD_329_0" hidden="1">"U25569"</definedName>
    <definedName name="FDD_33_0" hidden="1">"A25569"</definedName>
    <definedName name="FDD_330_0" hidden="1">"U25569"</definedName>
    <definedName name="FDD_331_0" hidden="1">"U25569"</definedName>
    <definedName name="FDD_332_0" hidden="1">"U25569"</definedName>
    <definedName name="FDD_333_0" hidden="1">"U25569"</definedName>
    <definedName name="FDD_334_0" hidden="1">"U25569"</definedName>
    <definedName name="FDD_335_0" hidden="1">"U25569"</definedName>
    <definedName name="FDD_336_0" hidden="1">"U25569"</definedName>
    <definedName name="FDD_337_0" hidden="1">"U25569"</definedName>
    <definedName name="FDD_338_0" hidden="1">"U25569"</definedName>
    <definedName name="FDD_339_0" hidden="1">"U25569"</definedName>
    <definedName name="FDD_34_0" hidden="1">"A25569"</definedName>
    <definedName name="FDD_340_0" hidden="1">"U25569"</definedName>
    <definedName name="FDD_341_0" hidden="1">"U25569"</definedName>
    <definedName name="FDD_342_0" hidden="1">"U25569"</definedName>
    <definedName name="FDD_343_0" hidden="1">"U25569"</definedName>
    <definedName name="FDD_344_0" hidden="1">"U25569"</definedName>
    <definedName name="FDD_345_0" hidden="1">"U25569"</definedName>
    <definedName name="FDD_346_0" hidden="1">"U25569"</definedName>
    <definedName name="FDD_347_0" hidden="1">"U25569"</definedName>
    <definedName name="FDD_348_0" hidden="1">"U25569"</definedName>
    <definedName name="FDD_349_0" hidden="1">"U25569"</definedName>
    <definedName name="FDD_35_0" hidden="1">"A25569"</definedName>
    <definedName name="FDD_36_0" hidden="1">"A25569"</definedName>
    <definedName name="FDD_37_0" hidden="1">"A25569"</definedName>
    <definedName name="FDD_372_0" hidden="1">"A34334"</definedName>
    <definedName name="FDD_372_1" hidden="1">"A34699"</definedName>
    <definedName name="FDD_372_2" hidden="1">"A35064"</definedName>
    <definedName name="FDD_372_3" hidden="1">"A35430"</definedName>
    <definedName name="FDD_372_4" hidden="1">"A35795"</definedName>
    <definedName name="FDD_372_5" hidden="1">"E36160"</definedName>
    <definedName name="FDD_372_6" hidden="1">"E36525"</definedName>
    <definedName name="FDD_373_0" hidden="1">"R34334"</definedName>
    <definedName name="FDD_373_1" hidden="1">"R34699"</definedName>
    <definedName name="FDD_373_2" hidden="1">"R35064"</definedName>
    <definedName name="FDD_373_3" hidden="1">"R35430"</definedName>
    <definedName name="FDD_373_4" hidden="1">"R35795"</definedName>
    <definedName name="FDD_373_5" hidden="1">"R36160"</definedName>
    <definedName name="FDD_373_6" hidden="1">"R36525"</definedName>
    <definedName name="FDD_374_0" hidden="1">"A25569"</definedName>
    <definedName name="FDD_38_0" hidden="1">"A25569"</definedName>
    <definedName name="FDD_39_0" hidden="1">"A25569"</definedName>
    <definedName name="FDD_4_0" hidden="1">"A25569"</definedName>
    <definedName name="FDD_40_0" hidden="1">"A25569"</definedName>
    <definedName name="FDD_41_0" hidden="1">"U25569"</definedName>
    <definedName name="FDD_42_0" hidden="1">"U25569"</definedName>
    <definedName name="FDD_43_0" hidden="1">"A25569"</definedName>
    <definedName name="FDD_44_0" hidden="1">"A30681"</definedName>
    <definedName name="FDD_44_1" hidden="1">"A31047"</definedName>
    <definedName name="FDD_44_10" hidden="1">"A34334"</definedName>
    <definedName name="FDD_44_11" hidden="1">"A34699"</definedName>
    <definedName name="FDD_44_12" hidden="1">"A35064"</definedName>
    <definedName name="FDD_44_13" hidden="1">"A35430"</definedName>
    <definedName name="FDD_44_14" hidden="1">"A35795"</definedName>
    <definedName name="FDD_44_2" hidden="1">"A31412"</definedName>
    <definedName name="FDD_44_3" hidden="1">"A31777"</definedName>
    <definedName name="FDD_44_4" hidden="1">"A32142"</definedName>
    <definedName name="FDD_44_5" hidden="1">"A32508"</definedName>
    <definedName name="FDD_44_6" hidden="1">"A32873"</definedName>
    <definedName name="FDD_44_7" hidden="1">"A33238"</definedName>
    <definedName name="FDD_44_8" hidden="1">"A33603"</definedName>
    <definedName name="FDD_44_9" hidden="1">"A33969"</definedName>
    <definedName name="FDD_45_0" hidden="1">"A30681"</definedName>
    <definedName name="FDD_45_1" hidden="1">"A31047"</definedName>
    <definedName name="FDD_45_10" hidden="1">"A34334"</definedName>
    <definedName name="FDD_45_11" hidden="1">"A34699"</definedName>
    <definedName name="FDD_45_12" hidden="1">"A35064"</definedName>
    <definedName name="FDD_45_13" hidden="1">"A35430"</definedName>
    <definedName name="FDD_45_14" hidden="1">"A35795"</definedName>
    <definedName name="FDD_45_2" hidden="1">"A31412"</definedName>
    <definedName name="FDD_45_3" hidden="1">"A31777"</definedName>
    <definedName name="FDD_45_4" hidden="1">"A32142"</definedName>
    <definedName name="FDD_45_5" hidden="1">"A32508"</definedName>
    <definedName name="FDD_45_6" hidden="1">"A32873"</definedName>
    <definedName name="FDD_45_7" hidden="1">"A33238"</definedName>
    <definedName name="FDD_45_8" hidden="1">"A33603"</definedName>
    <definedName name="FDD_45_9" hidden="1">"A33969"</definedName>
    <definedName name="FDD_46_0" hidden="1">"A30681"</definedName>
    <definedName name="FDD_46_1" hidden="1">"A31047"</definedName>
    <definedName name="FDD_46_10" hidden="1">"A34334"</definedName>
    <definedName name="FDD_46_11" hidden="1">"A34699"</definedName>
    <definedName name="FDD_46_12" hidden="1">"A35064"</definedName>
    <definedName name="FDD_46_13" hidden="1">"A35430"</definedName>
    <definedName name="FDD_46_14" hidden="1">"A35795"</definedName>
    <definedName name="FDD_46_2" hidden="1">"A31412"</definedName>
    <definedName name="FDD_46_3" hidden="1">"A31777"</definedName>
    <definedName name="FDD_46_4" hidden="1">"A32142"</definedName>
    <definedName name="FDD_46_5" hidden="1">"A32508"</definedName>
    <definedName name="FDD_46_6" hidden="1">"A32873"</definedName>
    <definedName name="FDD_46_7" hidden="1">"A33238"</definedName>
    <definedName name="FDD_46_8" hidden="1">"A33603"</definedName>
    <definedName name="FDD_46_9" hidden="1">"A33969"</definedName>
    <definedName name="FDD_47_0" hidden="1">"A30681"</definedName>
    <definedName name="FDD_47_1" hidden="1">"A31047"</definedName>
    <definedName name="FDD_47_10" hidden="1">"A34334"</definedName>
    <definedName name="FDD_47_11" hidden="1">"A34699"</definedName>
    <definedName name="FDD_47_12" hidden="1">"A35064"</definedName>
    <definedName name="FDD_47_13" hidden="1">"A35430"</definedName>
    <definedName name="FDD_47_14" hidden="1">"A35795"</definedName>
    <definedName name="FDD_47_2" hidden="1">"A31412"</definedName>
    <definedName name="FDD_47_3" hidden="1">"A31777"</definedName>
    <definedName name="FDD_47_4" hidden="1">"A32142"</definedName>
    <definedName name="FDD_47_5" hidden="1">"A32508"</definedName>
    <definedName name="FDD_47_6" hidden="1">"A32873"</definedName>
    <definedName name="FDD_47_7" hidden="1">"A33238"</definedName>
    <definedName name="FDD_47_8" hidden="1">"A33603"</definedName>
    <definedName name="FDD_47_9" hidden="1">"A33969"</definedName>
    <definedName name="FDD_48_0" hidden="1">"A30681"</definedName>
    <definedName name="FDD_48_1" hidden="1">"A31047"</definedName>
    <definedName name="FDD_48_10" hidden="1">"A34334"</definedName>
    <definedName name="FDD_48_11" hidden="1">"A34699"</definedName>
    <definedName name="FDD_48_12" hidden="1">"A35064"</definedName>
    <definedName name="FDD_48_13" hidden="1">"A35430"</definedName>
    <definedName name="FDD_48_14" hidden="1">"A35795"</definedName>
    <definedName name="FDD_48_2" hidden="1">"A31412"</definedName>
    <definedName name="FDD_48_3" hidden="1">"A31777"</definedName>
    <definedName name="FDD_48_4" hidden="1">"A32142"</definedName>
    <definedName name="FDD_48_5" hidden="1">"A32508"</definedName>
    <definedName name="FDD_48_6" hidden="1">"A32873"</definedName>
    <definedName name="FDD_48_7" hidden="1">"A33238"</definedName>
    <definedName name="FDD_48_8" hidden="1">"A33603"</definedName>
    <definedName name="FDD_48_9" hidden="1">"A33969"</definedName>
    <definedName name="FDD_49_0" hidden="1">"A30681"</definedName>
    <definedName name="FDD_49_1" hidden="1">"A31047"</definedName>
    <definedName name="FDD_49_10" hidden="1">"A34334"</definedName>
    <definedName name="FDD_49_11" hidden="1">"A34699"</definedName>
    <definedName name="FDD_49_12" hidden="1">"A35064"</definedName>
    <definedName name="FDD_49_13" hidden="1">"A35430"</definedName>
    <definedName name="FDD_49_14" hidden="1">"A35795"</definedName>
    <definedName name="FDD_49_2" hidden="1">"A31412"</definedName>
    <definedName name="FDD_49_3" hidden="1">"A31777"</definedName>
    <definedName name="FDD_49_4" hidden="1">"A32142"</definedName>
    <definedName name="FDD_49_5" hidden="1">"A32508"</definedName>
    <definedName name="FDD_49_6" hidden="1">"A32873"</definedName>
    <definedName name="FDD_49_7" hidden="1">"A33238"</definedName>
    <definedName name="FDD_49_8" hidden="1">"A33603"</definedName>
    <definedName name="FDD_49_9" hidden="1">"A33969"</definedName>
    <definedName name="FDD_5_0" hidden="1">"A25569"</definedName>
    <definedName name="FDD_50_0" hidden="1">"A30681"</definedName>
    <definedName name="FDD_50_1" hidden="1">"A31047"</definedName>
    <definedName name="FDD_50_10" hidden="1">"A34334"</definedName>
    <definedName name="FDD_50_11" hidden="1">"A34699"</definedName>
    <definedName name="FDD_50_12" hidden="1">"A35064"</definedName>
    <definedName name="FDD_50_13" hidden="1">"A35430"</definedName>
    <definedName name="FDD_50_14" hidden="1">"A35795"</definedName>
    <definedName name="FDD_50_2" hidden="1">"A31412"</definedName>
    <definedName name="FDD_50_3" hidden="1">"A31777"</definedName>
    <definedName name="FDD_50_4" hidden="1">"A32142"</definedName>
    <definedName name="FDD_50_5" hidden="1">"A32508"</definedName>
    <definedName name="FDD_50_6" hidden="1">"A32873"</definedName>
    <definedName name="FDD_50_7" hidden="1">"A33238"</definedName>
    <definedName name="FDD_50_8" hidden="1">"A33603"</definedName>
    <definedName name="FDD_50_9" hidden="1">"A33969"</definedName>
    <definedName name="FDD_51_0" hidden="1">"A30681"</definedName>
    <definedName name="FDD_51_1" hidden="1">"A31047"</definedName>
    <definedName name="FDD_51_10" hidden="1">"A34334"</definedName>
    <definedName name="FDD_51_11" hidden="1">"A34699"</definedName>
    <definedName name="FDD_51_12" hidden="1">"A35064"</definedName>
    <definedName name="FDD_51_13" hidden="1">"A35430"</definedName>
    <definedName name="FDD_51_14" hidden="1">"A35795"</definedName>
    <definedName name="FDD_51_2" hidden="1">"A31412"</definedName>
    <definedName name="FDD_51_3" hidden="1">"A31777"</definedName>
    <definedName name="FDD_51_4" hidden="1">"A32142"</definedName>
    <definedName name="FDD_51_5" hidden="1">"A32508"</definedName>
    <definedName name="FDD_51_6" hidden="1">"A32873"</definedName>
    <definedName name="FDD_51_7" hidden="1">"A33238"</definedName>
    <definedName name="FDD_51_8" hidden="1">"A33603"</definedName>
    <definedName name="FDD_51_9" hidden="1">"A33969"</definedName>
    <definedName name="FDD_52_0" hidden="1">"A30681"</definedName>
    <definedName name="FDD_52_1" hidden="1">"A31047"</definedName>
    <definedName name="FDD_52_10" hidden="1">"A34334"</definedName>
    <definedName name="FDD_52_11" hidden="1">"A34699"</definedName>
    <definedName name="FDD_52_12" hidden="1">"A35064"</definedName>
    <definedName name="FDD_52_13" hidden="1">"A35430"</definedName>
    <definedName name="FDD_52_14" hidden="1">"A35795"</definedName>
    <definedName name="FDD_52_2" hidden="1">"A31412"</definedName>
    <definedName name="FDD_52_3" hidden="1">"A31777"</definedName>
    <definedName name="FDD_52_4" hidden="1">"A32142"</definedName>
    <definedName name="FDD_52_5" hidden="1">"A32508"</definedName>
    <definedName name="FDD_52_6" hidden="1">"A32873"</definedName>
    <definedName name="FDD_52_7" hidden="1">"A33238"</definedName>
    <definedName name="FDD_52_8" hidden="1">"A33603"</definedName>
    <definedName name="FDD_52_9" hidden="1">"A33969"</definedName>
    <definedName name="FDD_53_0" hidden="1">"U30681"</definedName>
    <definedName name="FDD_53_1" hidden="1">"A31047"</definedName>
    <definedName name="FDD_53_10" hidden="1">"A34334"</definedName>
    <definedName name="FDD_53_11" hidden="1">"A34699"</definedName>
    <definedName name="FDD_53_12" hidden="1">"A35064"</definedName>
    <definedName name="FDD_53_13" hidden="1">"A35430"</definedName>
    <definedName name="FDD_53_14" hidden="1">"A35795"</definedName>
    <definedName name="FDD_53_2" hidden="1">"A31412"</definedName>
    <definedName name="FDD_53_3" hidden="1">"A31777"</definedName>
    <definedName name="FDD_53_4" hidden="1">"A32142"</definedName>
    <definedName name="FDD_53_5" hidden="1">"A32508"</definedName>
    <definedName name="FDD_53_6" hidden="1">"A32873"</definedName>
    <definedName name="FDD_53_7" hidden="1">"A33238"</definedName>
    <definedName name="FDD_53_8" hidden="1">"A33603"</definedName>
    <definedName name="FDD_53_9" hidden="1">"A33969"</definedName>
    <definedName name="FDD_54_0" hidden="1">"A30681"</definedName>
    <definedName name="FDD_54_1" hidden="1">"A31047"</definedName>
    <definedName name="FDD_54_10" hidden="1">"A34334"</definedName>
    <definedName name="FDD_54_11" hidden="1">"A34699"</definedName>
    <definedName name="FDD_54_12" hidden="1">"A35064"</definedName>
    <definedName name="FDD_54_13" hidden="1">"A35430"</definedName>
    <definedName name="FDD_54_14" hidden="1">"A35795"</definedName>
    <definedName name="FDD_54_2" hidden="1">"A31412"</definedName>
    <definedName name="FDD_54_3" hidden="1">"A31777"</definedName>
    <definedName name="FDD_54_4" hidden="1">"A32142"</definedName>
    <definedName name="FDD_54_5" hidden="1">"A32508"</definedName>
    <definedName name="FDD_54_6" hidden="1">"A32873"</definedName>
    <definedName name="FDD_54_7" hidden="1">"A33238"</definedName>
    <definedName name="FDD_54_8" hidden="1">"A33603"</definedName>
    <definedName name="FDD_54_9" hidden="1">"A33969"</definedName>
    <definedName name="FDD_55_0" hidden="1">"A30681"</definedName>
    <definedName name="FDD_55_1" hidden="1">"A31047"</definedName>
    <definedName name="FDD_55_10" hidden="1">"A34334"</definedName>
    <definedName name="FDD_55_11" hidden="1">"A34699"</definedName>
    <definedName name="FDD_55_12" hidden="1">"A35064"</definedName>
    <definedName name="FDD_55_13" hidden="1">"A35430"</definedName>
    <definedName name="FDD_55_14" hidden="1">"A35795"</definedName>
    <definedName name="FDD_55_2" hidden="1">"A31412"</definedName>
    <definedName name="FDD_55_3" hidden="1">"A31777"</definedName>
    <definedName name="FDD_55_4" hidden="1">"A32142"</definedName>
    <definedName name="FDD_55_5" hidden="1">"A32508"</definedName>
    <definedName name="FDD_55_6" hidden="1">"A32873"</definedName>
    <definedName name="FDD_55_7" hidden="1">"A33238"</definedName>
    <definedName name="FDD_55_8" hidden="1">"A33603"</definedName>
    <definedName name="FDD_55_9" hidden="1">"A33969"</definedName>
    <definedName name="FDD_56_0" hidden="1">"A30681"</definedName>
    <definedName name="FDD_56_1" hidden="1">"A31047"</definedName>
    <definedName name="FDD_56_10" hidden="1">"A34334"</definedName>
    <definedName name="FDD_56_11" hidden="1">"A34699"</definedName>
    <definedName name="FDD_56_12" hidden="1">"A35064"</definedName>
    <definedName name="FDD_56_13" hidden="1">"A35430"</definedName>
    <definedName name="FDD_56_14" hidden="1">"A35795"</definedName>
    <definedName name="FDD_56_2" hidden="1">"A31412"</definedName>
    <definedName name="FDD_56_3" hidden="1">"A31777"</definedName>
    <definedName name="FDD_56_4" hidden="1">"A32142"</definedName>
    <definedName name="FDD_56_5" hidden="1">"A32508"</definedName>
    <definedName name="FDD_56_6" hidden="1">"A32873"</definedName>
    <definedName name="FDD_56_7" hidden="1">"A33238"</definedName>
    <definedName name="FDD_56_8" hidden="1">"A33603"</definedName>
    <definedName name="FDD_56_9" hidden="1">"A33969"</definedName>
    <definedName name="FDD_57_0" hidden="1">"A30681"</definedName>
    <definedName name="FDD_57_1" hidden="1">"A31047"</definedName>
    <definedName name="FDD_57_10" hidden="1">"A34334"</definedName>
    <definedName name="FDD_57_11" hidden="1">"A34699"</definedName>
    <definedName name="FDD_57_12" hidden="1">"A35064"</definedName>
    <definedName name="FDD_57_13" hidden="1">"A35430"</definedName>
    <definedName name="FDD_57_14" hidden="1">"A35795"</definedName>
    <definedName name="FDD_57_2" hidden="1">"A31412"</definedName>
    <definedName name="FDD_57_3" hidden="1">"A31777"</definedName>
    <definedName name="FDD_57_4" hidden="1">"A32142"</definedName>
    <definedName name="FDD_57_5" hidden="1">"A32508"</definedName>
    <definedName name="FDD_57_6" hidden="1">"A32873"</definedName>
    <definedName name="FDD_57_7" hidden="1">"A33238"</definedName>
    <definedName name="FDD_57_8" hidden="1">"A33603"</definedName>
    <definedName name="FDD_57_9" hidden="1">"A33969"</definedName>
    <definedName name="FDD_58_0" hidden="1">"A30681"</definedName>
    <definedName name="FDD_58_1" hidden="1">"A31047"</definedName>
    <definedName name="FDD_58_10" hidden="1">"A34334"</definedName>
    <definedName name="FDD_58_11" hidden="1">"A34699"</definedName>
    <definedName name="FDD_58_12" hidden="1">"A35064"</definedName>
    <definedName name="FDD_58_13" hidden="1">"A35430"</definedName>
    <definedName name="FDD_58_14" hidden="1">"A35795"</definedName>
    <definedName name="FDD_58_2" hidden="1">"A31412"</definedName>
    <definedName name="FDD_58_3" hidden="1">"A31777"</definedName>
    <definedName name="FDD_58_4" hidden="1">"A32142"</definedName>
    <definedName name="FDD_58_5" hidden="1">"A32508"</definedName>
    <definedName name="FDD_58_6" hidden="1">"A32873"</definedName>
    <definedName name="FDD_58_7" hidden="1">"A33238"</definedName>
    <definedName name="FDD_58_8" hidden="1">"A33603"</definedName>
    <definedName name="FDD_58_9" hidden="1">"A33969"</definedName>
    <definedName name="FDD_59_0" hidden="1">"A30681"</definedName>
    <definedName name="FDD_59_1" hidden="1">"A31047"</definedName>
    <definedName name="FDD_59_10" hidden="1">"A34334"</definedName>
    <definedName name="FDD_59_11" hidden="1">"A34699"</definedName>
    <definedName name="FDD_59_12" hidden="1">"A35064"</definedName>
    <definedName name="FDD_59_13" hidden="1">"A35430"</definedName>
    <definedName name="FDD_59_14" hidden="1">"A35795"</definedName>
    <definedName name="FDD_59_2" hidden="1">"A31412"</definedName>
    <definedName name="FDD_59_3" hidden="1">"A31777"</definedName>
    <definedName name="FDD_59_4" hidden="1">"A32142"</definedName>
    <definedName name="FDD_59_5" hidden="1">"A32508"</definedName>
    <definedName name="FDD_59_6" hidden="1">"A32873"</definedName>
    <definedName name="FDD_59_7" hidden="1">"A33238"</definedName>
    <definedName name="FDD_59_8" hidden="1">"A33603"</definedName>
    <definedName name="FDD_59_9" hidden="1">"A33969"</definedName>
    <definedName name="FDD_6_0" hidden="1">"A25569"</definedName>
    <definedName name="FDD_60_0" hidden="1">"A30681"</definedName>
    <definedName name="FDD_60_1" hidden="1">"A31047"</definedName>
    <definedName name="FDD_60_10" hidden="1">"A34334"</definedName>
    <definedName name="FDD_60_11" hidden="1">"A34699"</definedName>
    <definedName name="FDD_60_12" hidden="1">"A35064"</definedName>
    <definedName name="FDD_60_13" hidden="1">"A35430"</definedName>
    <definedName name="FDD_60_14" hidden="1">"A35795"</definedName>
    <definedName name="FDD_60_2" hidden="1">"A31412"</definedName>
    <definedName name="FDD_60_3" hidden="1">"A31777"</definedName>
    <definedName name="FDD_60_4" hidden="1">"A32142"</definedName>
    <definedName name="FDD_60_5" hidden="1">"A32508"</definedName>
    <definedName name="FDD_60_6" hidden="1">"A32873"</definedName>
    <definedName name="FDD_60_7" hidden="1">"A33238"</definedName>
    <definedName name="FDD_60_8" hidden="1">"A33603"</definedName>
    <definedName name="FDD_60_9" hidden="1">"A33969"</definedName>
    <definedName name="FDD_61_0" hidden="1">"A30681"</definedName>
    <definedName name="FDD_61_1" hidden="1">"A31047"</definedName>
    <definedName name="FDD_61_10" hidden="1">"A34334"</definedName>
    <definedName name="FDD_61_11" hidden="1">"A34699"</definedName>
    <definedName name="FDD_61_12" hidden="1">"A35064"</definedName>
    <definedName name="FDD_61_13" hidden="1">"A35430"</definedName>
    <definedName name="FDD_61_14" hidden="1">"A35795"</definedName>
    <definedName name="FDD_61_2" hidden="1">"A31412"</definedName>
    <definedName name="FDD_61_3" hidden="1">"A31777"</definedName>
    <definedName name="FDD_61_4" hidden="1">"A32142"</definedName>
    <definedName name="FDD_61_5" hidden="1">"A32508"</definedName>
    <definedName name="FDD_61_6" hidden="1">"A32873"</definedName>
    <definedName name="FDD_61_7" hidden="1">"A33238"</definedName>
    <definedName name="FDD_61_8" hidden="1">"A33603"</definedName>
    <definedName name="FDD_61_9" hidden="1">"A33969"</definedName>
    <definedName name="FDD_62_0" hidden="1">"A30681"</definedName>
    <definedName name="FDD_62_1" hidden="1">"A31047"</definedName>
    <definedName name="FDD_62_10" hidden="1">"A34334"</definedName>
    <definedName name="FDD_62_11" hidden="1">"A34699"</definedName>
    <definedName name="FDD_62_12" hidden="1">"A35064"</definedName>
    <definedName name="FDD_62_13" hidden="1">"A35430"</definedName>
    <definedName name="FDD_62_14" hidden="1">"A35795"</definedName>
    <definedName name="FDD_62_2" hidden="1">"A31412"</definedName>
    <definedName name="FDD_62_3" hidden="1">"A31777"</definedName>
    <definedName name="FDD_62_4" hidden="1">"A32142"</definedName>
    <definedName name="FDD_62_5" hidden="1">"A32508"</definedName>
    <definedName name="FDD_62_6" hidden="1">"A32873"</definedName>
    <definedName name="FDD_62_7" hidden="1">"A33238"</definedName>
    <definedName name="FDD_62_8" hidden="1">"A33603"</definedName>
    <definedName name="FDD_62_9" hidden="1">"A33969"</definedName>
    <definedName name="FDD_63_0" hidden="1">"A30681"</definedName>
    <definedName name="FDD_63_1" hidden="1">"A31047"</definedName>
    <definedName name="FDD_63_10" hidden="1">"A34334"</definedName>
    <definedName name="FDD_63_11" hidden="1">"A34699"</definedName>
    <definedName name="FDD_63_12" hidden="1">"A35064"</definedName>
    <definedName name="FDD_63_13" hidden="1">"A35430"</definedName>
    <definedName name="FDD_63_14" hidden="1">"A35795"</definedName>
    <definedName name="FDD_63_2" hidden="1">"A31412"</definedName>
    <definedName name="FDD_63_3" hidden="1">"A31777"</definedName>
    <definedName name="FDD_63_4" hidden="1">"A32142"</definedName>
    <definedName name="FDD_63_5" hidden="1">"A32508"</definedName>
    <definedName name="FDD_63_6" hidden="1">"A32873"</definedName>
    <definedName name="FDD_63_7" hidden="1">"A33238"</definedName>
    <definedName name="FDD_63_8" hidden="1">"A33603"</definedName>
    <definedName name="FDD_63_9" hidden="1">"A33969"</definedName>
    <definedName name="FDD_64_0" hidden="1">"A30681"</definedName>
    <definedName name="FDD_64_1" hidden="1">"A31047"</definedName>
    <definedName name="FDD_64_10" hidden="1">"A34334"</definedName>
    <definedName name="FDD_64_11" hidden="1">"A34699"</definedName>
    <definedName name="FDD_64_12" hidden="1">"A35064"</definedName>
    <definedName name="FDD_64_13" hidden="1">"A35430"</definedName>
    <definedName name="FDD_64_14" hidden="1">"A35795"</definedName>
    <definedName name="FDD_64_2" hidden="1">"A31412"</definedName>
    <definedName name="FDD_64_3" hidden="1">"A31777"</definedName>
    <definedName name="FDD_64_4" hidden="1">"A32142"</definedName>
    <definedName name="FDD_64_5" hidden="1">"A32508"</definedName>
    <definedName name="FDD_64_6" hidden="1">"A32873"</definedName>
    <definedName name="FDD_64_7" hidden="1">"A33238"</definedName>
    <definedName name="FDD_64_8" hidden="1">"A33603"</definedName>
    <definedName name="FDD_64_9" hidden="1">"A33969"</definedName>
    <definedName name="FDD_65_0" hidden="1">"A30681"</definedName>
    <definedName name="FDD_65_1" hidden="1">"A31047"</definedName>
    <definedName name="FDD_65_10" hidden="1">"A34334"</definedName>
    <definedName name="FDD_65_11" hidden="1">"A34699"</definedName>
    <definedName name="FDD_65_12" hidden="1">"A35064"</definedName>
    <definedName name="FDD_65_13" hidden="1">"A35430"</definedName>
    <definedName name="FDD_65_14" hidden="1">"A35795"</definedName>
    <definedName name="FDD_65_2" hidden="1">"A31412"</definedName>
    <definedName name="FDD_65_3" hidden="1">"A31777"</definedName>
    <definedName name="FDD_65_4" hidden="1">"A32142"</definedName>
    <definedName name="FDD_65_5" hidden="1">"A32508"</definedName>
    <definedName name="FDD_65_6" hidden="1">"A32873"</definedName>
    <definedName name="FDD_65_7" hidden="1">"A33238"</definedName>
    <definedName name="FDD_65_8" hidden="1">"A33603"</definedName>
    <definedName name="FDD_65_9" hidden="1">"A33969"</definedName>
    <definedName name="FDD_66_0" hidden="1">"A30681"</definedName>
    <definedName name="FDD_66_1" hidden="1">"A31047"</definedName>
    <definedName name="FDD_66_10" hidden="1">"A34334"</definedName>
    <definedName name="FDD_66_11" hidden="1">"A34699"</definedName>
    <definedName name="FDD_66_12" hidden="1">"A35064"</definedName>
    <definedName name="FDD_66_13" hidden="1">"A35430"</definedName>
    <definedName name="FDD_66_14" hidden="1">"A35795"</definedName>
    <definedName name="FDD_66_2" hidden="1">"A31412"</definedName>
    <definedName name="FDD_66_3" hidden="1">"A31777"</definedName>
    <definedName name="FDD_66_4" hidden="1">"A32142"</definedName>
    <definedName name="FDD_66_5" hidden="1">"A32508"</definedName>
    <definedName name="FDD_66_6" hidden="1">"A32873"</definedName>
    <definedName name="FDD_66_7" hidden="1">"A33238"</definedName>
    <definedName name="FDD_66_8" hidden="1">"A33603"</definedName>
    <definedName name="FDD_66_9" hidden="1">"A33969"</definedName>
    <definedName name="FDD_67_0" hidden="1">"A30681"</definedName>
    <definedName name="FDD_67_1" hidden="1">"A31047"</definedName>
    <definedName name="FDD_67_10" hidden="1">"A34334"</definedName>
    <definedName name="FDD_67_11" hidden="1">"A34699"</definedName>
    <definedName name="FDD_67_12" hidden="1">"A35064"</definedName>
    <definedName name="FDD_67_13" hidden="1">"A35430"</definedName>
    <definedName name="FDD_67_14" hidden="1">"A35795"</definedName>
    <definedName name="FDD_67_2" hidden="1">"A31412"</definedName>
    <definedName name="FDD_67_3" hidden="1">"A31777"</definedName>
    <definedName name="FDD_67_4" hidden="1">"A32142"</definedName>
    <definedName name="FDD_67_5" hidden="1">"A32508"</definedName>
    <definedName name="FDD_67_6" hidden="1">"A32873"</definedName>
    <definedName name="FDD_67_7" hidden="1">"A33238"</definedName>
    <definedName name="FDD_67_8" hidden="1">"A33603"</definedName>
    <definedName name="FDD_67_9" hidden="1">"A33969"</definedName>
    <definedName name="FDD_68_0" hidden="1">"A30681"</definedName>
    <definedName name="FDD_68_1" hidden="1">"A31047"</definedName>
    <definedName name="FDD_68_10" hidden="1">"A34334"</definedName>
    <definedName name="FDD_68_11" hidden="1">"A34699"</definedName>
    <definedName name="FDD_68_12" hidden="1">"A35064"</definedName>
    <definedName name="FDD_68_13" hidden="1">"A35430"</definedName>
    <definedName name="FDD_68_14" hidden="1">"A35795"</definedName>
    <definedName name="FDD_68_2" hidden="1">"A31412"</definedName>
    <definedName name="FDD_68_3" hidden="1">"A31777"</definedName>
    <definedName name="FDD_68_4" hidden="1">"A32142"</definedName>
    <definedName name="FDD_68_5" hidden="1">"A32508"</definedName>
    <definedName name="FDD_68_6" hidden="1">"A32873"</definedName>
    <definedName name="FDD_68_7" hidden="1">"A33238"</definedName>
    <definedName name="FDD_68_8" hidden="1">"A33603"</definedName>
    <definedName name="FDD_68_9" hidden="1">"A33969"</definedName>
    <definedName name="FDD_69_0" hidden="1">"U30681"</definedName>
    <definedName name="FDD_69_1" hidden="1">"A31047"</definedName>
    <definedName name="FDD_69_10" hidden="1">"A34334"</definedName>
    <definedName name="FDD_69_11" hidden="1">"A34699"</definedName>
    <definedName name="FDD_69_12" hidden="1">"A35064"</definedName>
    <definedName name="FDD_69_13" hidden="1">"A35430"</definedName>
    <definedName name="FDD_69_14" hidden="1">"A35795"</definedName>
    <definedName name="FDD_69_2" hidden="1">"A31412"</definedName>
    <definedName name="FDD_69_3" hidden="1">"A31777"</definedName>
    <definedName name="FDD_69_4" hidden="1">"A32142"</definedName>
    <definedName name="FDD_69_5" hidden="1">"A32508"</definedName>
    <definedName name="FDD_69_6" hidden="1">"A32873"</definedName>
    <definedName name="FDD_69_7" hidden="1">"A33238"</definedName>
    <definedName name="FDD_69_8" hidden="1">"A33603"</definedName>
    <definedName name="FDD_69_9" hidden="1">"A33969"</definedName>
    <definedName name="FDD_7_0" hidden="1">"A25569"</definedName>
    <definedName name="FDD_70_0" hidden="1">"A30681"</definedName>
    <definedName name="FDD_70_1" hidden="1">"A31047"</definedName>
    <definedName name="FDD_70_10" hidden="1">"A34334"</definedName>
    <definedName name="FDD_70_11" hidden="1">"A34699"</definedName>
    <definedName name="FDD_70_12" hidden="1">"A35064"</definedName>
    <definedName name="FDD_70_13" hidden="1">"A35430"</definedName>
    <definedName name="FDD_70_14" hidden="1">"A35795"</definedName>
    <definedName name="FDD_70_2" hidden="1">"A31412"</definedName>
    <definedName name="FDD_70_3" hidden="1">"A31777"</definedName>
    <definedName name="FDD_70_4" hidden="1">"A32142"</definedName>
    <definedName name="FDD_70_5" hidden="1">"A32508"</definedName>
    <definedName name="FDD_70_6" hidden="1">"A32873"</definedName>
    <definedName name="FDD_70_7" hidden="1">"A33238"</definedName>
    <definedName name="FDD_70_8" hidden="1">"A33603"</definedName>
    <definedName name="FDD_70_9" hidden="1">"A33969"</definedName>
    <definedName name="FDD_71_0" hidden="1">"A30681"</definedName>
    <definedName name="FDD_71_1" hidden="1">"A31047"</definedName>
    <definedName name="FDD_71_10" hidden="1">"A34334"</definedName>
    <definedName name="FDD_71_11" hidden="1">"A34699"</definedName>
    <definedName name="FDD_71_12" hidden="1">"A35064"</definedName>
    <definedName name="FDD_71_13" hidden="1">"A35430"</definedName>
    <definedName name="FDD_71_14" hidden="1">"A35795"</definedName>
    <definedName name="FDD_71_2" hidden="1">"A31412"</definedName>
    <definedName name="FDD_71_3" hidden="1">"A31777"</definedName>
    <definedName name="FDD_71_4" hidden="1">"A32142"</definedName>
    <definedName name="FDD_71_5" hidden="1">"A32508"</definedName>
    <definedName name="FDD_71_6" hidden="1">"A32873"</definedName>
    <definedName name="FDD_71_7" hidden="1">"A33238"</definedName>
    <definedName name="FDD_71_8" hidden="1">"A33603"</definedName>
    <definedName name="FDD_71_9" hidden="1">"A33969"</definedName>
    <definedName name="FDD_72_0" hidden="1">"A30681"</definedName>
    <definedName name="FDD_72_1" hidden="1">"A31047"</definedName>
    <definedName name="FDD_72_10" hidden="1">"A34334"</definedName>
    <definedName name="FDD_72_11" hidden="1">"A34699"</definedName>
    <definedName name="FDD_72_12" hidden="1">"A35064"</definedName>
    <definedName name="FDD_72_13" hidden="1">"A35430"</definedName>
    <definedName name="FDD_72_14" hidden="1">"A35795"</definedName>
    <definedName name="FDD_72_2" hidden="1">"A31412"</definedName>
    <definedName name="FDD_72_3" hidden="1">"A31777"</definedName>
    <definedName name="FDD_72_4" hidden="1">"A32142"</definedName>
    <definedName name="FDD_72_5" hidden="1">"A32508"</definedName>
    <definedName name="FDD_72_6" hidden="1">"A32873"</definedName>
    <definedName name="FDD_72_7" hidden="1">"A33238"</definedName>
    <definedName name="FDD_72_8" hidden="1">"A33603"</definedName>
    <definedName name="FDD_72_9" hidden="1">"A33969"</definedName>
    <definedName name="FDD_73_0" hidden="1">"A30681"</definedName>
    <definedName name="FDD_73_1" hidden="1">"A31047"</definedName>
    <definedName name="FDD_73_10" hidden="1">"A34334"</definedName>
    <definedName name="FDD_73_11" hidden="1">"A34699"</definedName>
    <definedName name="FDD_73_12" hidden="1">"A35064"</definedName>
    <definedName name="FDD_73_13" hidden="1">"A35430"</definedName>
    <definedName name="FDD_73_14" hidden="1">"A35795"</definedName>
    <definedName name="FDD_73_2" hidden="1">"A31412"</definedName>
    <definedName name="FDD_73_3" hidden="1">"A31777"</definedName>
    <definedName name="FDD_73_4" hidden="1">"A32142"</definedName>
    <definedName name="FDD_73_5" hidden="1">"A32508"</definedName>
    <definedName name="FDD_73_6" hidden="1">"A32873"</definedName>
    <definedName name="FDD_73_7" hidden="1">"A33238"</definedName>
    <definedName name="FDD_73_8" hidden="1">"A33603"</definedName>
    <definedName name="FDD_73_9" hidden="1">"A33969"</definedName>
    <definedName name="FDD_74_0" hidden="1">"A30681"</definedName>
    <definedName name="FDD_74_1" hidden="1">"A31047"</definedName>
    <definedName name="FDD_74_10" hidden="1">"A34334"</definedName>
    <definedName name="FDD_74_11" hidden="1">"A34699"</definedName>
    <definedName name="FDD_74_12" hidden="1">"A35064"</definedName>
    <definedName name="FDD_74_13" hidden="1">"A35430"</definedName>
    <definedName name="FDD_74_14" hidden="1">"A35795"</definedName>
    <definedName name="FDD_74_2" hidden="1">"A31412"</definedName>
    <definedName name="FDD_74_3" hidden="1">"A31777"</definedName>
    <definedName name="FDD_74_4" hidden="1">"A32142"</definedName>
    <definedName name="FDD_74_5" hidden="1">"A32508"</definedName>
    <definedName name="FDD_74_6" hidden="1">"A32873"</definedName>
    <definedName name="FDD_74_7" hidden="1">"A33238"</definedName>
    <definedName name="FDD_74_8" hidden="1">"A33603"</definedName>
    <definedName name="FDD_74_9" hidden="1">"A33969"</definedName>
    <definedName name="FDD_75_0" hidden="1">"A30681"</definedName>
    <definedName name="FDD_75_1" hidden="1">"A31047"</definedName>
    <definedName name="FDD_75_10" hidden="1">"A34334"</definedName>
    <definedName name="FDD_75_11" hidden="1">"A34699"</definedName>
    <definedName name="FDD_75_12" hidden="1">"A35064"</definedName>
    <definedName name="FDD_75_13" hidden="1">"A35430"</definedName>
    <definedName name="FDD_75_14" hidden="1">"A35795"</definedName>
    <definedName name="FDD_75_2" hidden="1">"A31412"</definedName>
    <definedName name="FDD_75_3" hidden="1">"A31777"</definedName>
    <definedName name="FDD_75_4" hidden="1">"A32142"</definedName>
    <definedName name="FDD_75_5" hidden="1">"A32508"</definedName>
    <definedName name="FDD_75_6" hidden="1">"A32873"</definedName>
    <definedName name="FDD_75_7" hidden="1">"A33238"</definedName>
    <definedName name="FDD_75_8" hidden="1">"A33603"</definedName>
    <definedName name="FDD_75_9" hidden="1">"A33969"</definedName>
    <definedName name="FDD_76_0" hidden="1">"A30681"</definedName>
    <definedName name="FDD_76_1" hidden="1">"A31047"</definedName>
    <definedName name="FDD_76_10" hidden="1">"A34334"</definedName>
    <definedName name="FDD_76_11" hidden="1">"A34699"</definedName>
    <definedName name="FDD_76_12" hidden="1">"A35064"</definedName>
    <definedName name="FDD_76_13" hidden="1">"A35430"</definedName>
    <definedName name="FDD_76_14" hidden="1">"A35795"</definedName>
    <definedName name="FDD_76_2" hidden="1">"A31412"</definedName>
    <definedName name="FDD_76_3" hidden="1">"A31777"</definedName>
    <definedName name="FDD_76_4" hidden="1">"A32142"</definedName>
    <definedName name="FDD_76_5" hidden="1">"A32508"</definedName>
    <definedName name="FDD_76_6" hidden="1">"A32873"</definedName>
    <definedName name="FDD_76_7" hidden="1">"A33238"</definedName>
    <definedName name="FDD_76_8" hidden="1">"A33603"</definedName>
    <definedName name="FDD_76_9" hidden="1">"A33969"</definedName>
    <definedName name="FDD_77_0" hidden="1">"A30681"</definedName>
    <definedName name="FDD_77_1" hidden="1">"A31047"</definedName>
    <definedName name="FDD_77_10" hidden="1">"A34334"</definedName>
    <definedName name="FDD_77_11" hidden="1">"A34699"</definedName>
    <definedName name="FDD_77_12" hidden="1">"A35064"</definedName>
    <definedName name="FDD_77_13" hidden="1">"A35430"</definedName>
    <definedName name="FDD_77_14" hidden="1">"A35795"</definedName>
    <definedName name="FDD_77_2" hidden="1">"A31412"</definedName>
    <definedName name="FDD_77_3" hidden="1">"A31777"</definedName>
    <definedName name="FDD_77_4" hidden="1">"A32142"</definedName>
    <definedName name="FDD_77_5" hidden="1">"A32508"</definedName>
    <definedName name="FDD_77_6" hidden="1">"A32873"</definedName>
    <definedName name="FDD_77_7" hidden="1">"A33238"</definedName>
    <definedName name="FDD_77_8" hidden="1">"A33603"</definedName>
    <definedName name="FDD_77_9" hidden="1">"A33969"</definedName>
    <definedName name="FDD_78_0" hidden="1">"A30681"</definedName>
    <definedName name="FDD_78_1" hidden="1">"A31047"</definedName>
    <definedName name="FDD_78_10" hidden="1">"A34334"</definedName>
    <definedName name="FDD_78_11" hidden="1">"A34699"</definedName>
    <definedName name="FDD_78_12" hidden="1">"A35064"</definedName>
    <definedName name="FDD_78_13" hidden="1">"A35430"</definedName>
    <definedName name="FDD_78_14" hidden="1">"A35795"</definedName>
    <definedName name="FDD_78_2" hidden="1">"A31412"</definedName>
    <definedName name="FDD_78_3" hidden="1">"A31777"</definedName>
    <definedName name="FDD_78_4" hidden="1">"A32142"</definedName>
    <definedName name="FDD_78_5" hidden="1">"A32508"</definedName>
    <definedName name="FDD_78_6" hidden="1">"A32873"</definedName>
    <definedName name="FDD_78_7" hidden="1">"A33238"</definedName>
    <definedName name="FDD_78_8" hidden="1">"A33603"</definedName>
    <definedName name="FDD_78_9" hidden="1">"A33969"</definedName>
    <definedName name="FDD_79_0" hidden="1">"A30681"</definedName>
    <definedName name="FDD_79_1" hidden="1">"A31047"</definedName>
    <definedName name="FDD_79_10" hidden="1">"A34334"</definedName>
    <definedName name="FDD_79_11" hidden="1">"A34699"</definedName>
    <definedName name="FDD_79_12" hidden="1">"A35064"</definedName>
    <definedName name="FDD_79_13" hidden="1">"A35430"</definedName>
    <definedName name="FDD_79_14" hidden="1">"A35795"</definedName>
    <definedName name="FDD_79_2" hidden="1">"A31412"</definedName>
    <definedName name="FDD_79_3" hidden="1">"A31777"</definedName>
    <definedName name="FDD_79_4" hidden="1">"A32142"</definedName>
    <definedName name="FDD_79_5" hidden="1">"A32508"</definedName>
    <definedName name="FDD_79_6" hidden="1">"A32873"</definedName>
    <definedName name="FDD_79_7" hidden="1">"A33238"</definedName>
    <definedName name="FDD_79_8" hidden="1">"A33603"</definedName>
    <definedName name="FDD_79_9" hidden="1">"A33969"</definedName>
    <definedName name="FDD_8_0" hidden="1">"A25569"</definedName>
    <definedName name="FDD_80_0" hidden="1">"A30681"</definedName>
    <definedName name="FDD_80_1" hidden="1">"A31047"</definedName>
    <definedName name="FDD_80_10" hidden="1">"A34334"</definedName>
    <definedName name="FDD_80_11" hidden="1">"A34699"</definedName>
    <definedName name="FDD_80_12" hidden="1">"A35064"</definedName>
    <definedName name="FDD_80_13" hidden="1">"A35430"</definedName>
    <definedName name="FDD_80_14" hidden="1">"A35795"</definedName>
    <definedName name="FDD_80_2" hidden="1">"A31412"</definedName>
    <definedName name="FDD_80_3" hidden="1">"A31777"</definedName>
    <definedName name="FDD_80_4" hidden="1">"A32142"</definedName>
    <definedName name="FDD_80_5" hidden="1">"A32508"</definedName>
    <definedName name="FDD_80_6" hidden="1">"A32873"</definedName>
    <definedName name="FDD_80_7" hidden="1">"A33238"</definedName>
    <definedName name="FDD_80_8" hidden="1">"A33603"</definedName>
    <definedName name="FDD_80_9" hidden="1">"A33969"</definedName>
    <definedName name="FDD_81_0" hidden="1">"A30681"</definedName>
    <definedName name="FDD_81_1" hidden="1">"A31047"</definedName>
    <definedName name="FDD_81_10" hidden="1">"A34334"</definedName>
    <definedName name="FDD_81_11" hidden="1">"A34699"</definedName>
    <definedName name="FDD_81_12" hidden="1">"A35064"</definedName>
    <definedName name="FDD_81_13" hidden="1">"A35430"</definedName>
    <definedName name="FDD_81_14" hidden="1">"A35795"</definedName>
    <definedName name="FDD_81_2" hidden="1">"A31412"</definedName>
    <definedName name="FDD_81_3" hidden="1">"A31777"</definedName>
    <definedName name="FDD_81_4" hidden="1">"A32142"</definedName>
    <definedName name="FDD_81_5" hidden="1">"A32508"</definedName>
    <definedName name="FDD_81_6" hidden="1">"A32873"</definedName>
    <definedName name="FDD_81_7" hidden="1">"A33238"</definedName>
    <definedName name="FDD_81_8" hidden="1">"A33603"</definedName>
    <definedName name="FDD_81_9" hidden="1">"A33969"</definedName>
    <definedName name="FDD_82_0" hidden="1">"A30681"</definedName>
    <definedName name="FDD_82_1" hidden="1">"A31047"</definedName>
    <definedName name="FDD_82_10" hidden="1">"A34334"</definedName>
    <definedName name="FDD_82_11" hidden="1">"A34699"</definedName>
    <definedName name="FDD_82_12" hidden="1">"A35064"</definedName>
    <definedName name="FDD_82_13" hidden="1">"A35430"</definedName>
    <definedName name="FDD_82_14" hidden="1">"A35795"</definedName>
    <definedName name="FDD_82_2" hidden="1">"A31412"</definedName>
    <definedName name="FDD_82_3" hidden="1">"A31777"</definedName>
    <definedName name="FDD_82_4" hidden="1">"A32142"</definedName>
    <definedName name="FDD_82_5" hidden="1">"A32508"</definedName>
    <definedName name="FDD_82_6" hidden="1">"A32873"</definedName>
    <definedName name="FDD_82_7" hidden="1">"A33238"</definedName>
    <definedName name="FDD_82_8" hidden="1">"A33603"</definedName>
    <definedName name="FDD_82_9" hidden="1">"A33969"</definedName>
    <definedName name="FDD_83_0" hidden="1">"A30681"</definedName>
    <definedName name="FDD_83_1" hidden="1">"A31047"</definedName>
    <definedName name="FDD_83_10" hidden="1">"A34334"</definedName>
    <definedName name="FDD_83_11" hidden="1">"A34699"</definedName>
    <definedName name="FDD_83_12" hidden="1">"A35064"</definedName>
    <definedName name="FDD_83_13" hidden="1">"A35430"</definedName>
    <definedName name="FDD_83_14" hidden="1">"A35795"</definedName>
    <definedName name="FDD_83_2" hidden="1">"A31412"</definedName>
    <definedName name="FDD_83_3" hidden="1">"A31777"</definedName>
    <definedName name="FDD_83_4" hidden="1">"A32142"</definedName>
    <definedName name="FDD_83_5" hidden="1">"A32508"</definedName>
    <definedName name="FDD_83_6" hidden="1">"A32873"</definedName>
    <definedName name="FDD_83_7" hidden="1">"A33238"</definedName>
    <definedName name="FDD_83_8" hidden="1">"A33603"</definedName>
    <definedName name="FDD_83_9" hidden="1">"A33969"</definedName>
    <definedName name="FDD_84_0" hidden="1">"A30681"</definedName>
    <definedName name="FDD_84_1" hidden="1">"A31047"</definedName>
    <definedName name="FDD_84_10" hidden="1">"A34334"</definedName>
    <definedName name="FDD_84_11" hidden="1">"A34699"</definedName>
    <definedName name="FDD_84_12" hidden="1">"A35064"</definedName>
    <definedName name="FDD_84_13" hidden="1">"A35430"</definedName>
    <definedName name="FDD_84_14" hidden="1">"A35795"</definedName>
    <definedName name="FDD_84_2" hidden="1">"A31412"</definedName>
    <definedName name="FDD_84_3" hidden="1">"A31777"</definedName>
    <definedName name="FDD_84_4" hidden="1">"A32142"</definedName>
    <definedName name="FDD_84_5" hidden="1">"A32508"</definedName>
    <definedName name="FDD_84_6" hidden="1">"A32873"</definedName>
    <definedName name="FDD_84_7" hidden="1">"A33238"</definedName>
    <definedName name="FDD_84_8" hidden="1">"A33603"</definedName>
    <definedName name="FDD_84_9" hidden="1">"A33969"</definedName>
    <definedName name="FDD_85_0" hidden="1">"A30681"</definedName>
    <definedName name="FDD_85_1" hidden="1">"A31047"</definedName>
    <definedName name="FDD_85_10" hidden="1">"A34334"</definedName>
    <definedName name="FDD_85_11" hidden="1">"A34699"</definedName>
    <definedName name="FDD_85_12" hidden="1">"A35064"</definedName>
    <definedName name="FDD_85_13" hidden="1">"A35430"</definedName>
    <definedName name="FDD_85_14" hidden="1">"A35795"</definedName>
    <definedName name="FDD_85_2" hidden="1">"A31412"</definedName>
    <definedName name="FDD_85_3" hidden="1">"A31777"</definedName>
    <definedName name="FDD_85_4" hidden="1">"A32142"</definedName>
    <definedName name="FDD_85_5" hidden="1">"A32508"</definedName>
    <definedName name="FDD_85_6" hidden="1">"A32873"</definedName>
    <definedName name="FDD_85_7" hidden="1">"A33238"</definedName>
    <definedName name="FDD_85_8" hidden="1">"A33603"</definedName>
    <definedName name="FDD_85_9" hidden="1">"A33969"</definedName>
    <definedName name="FDD_86_0" hidden="1">"A30681"</definedName>
    <definedName name="FDD_86_1" hidden="1">"A31047"</definedName>
    <definedName name="FDD_86_10" hidden="1">"A34334"</definedName>
    <definedName name="FDD_86_11" hidden="1">"A34699"</definedName>
    <definedName name="FDD_86_12" hidden="1">"A35064"</definedName>
    <definedName name="FDD_86_13" hidden="1">"A35430"</definedName>
    <definedName name="FDD_86_14" hidden="1">"A35795"</definedName>
    <definedName name="FDD_86_2" hidden="1">"A31412"</definedName>
    <definedName name="FDD_86_3" hidden="1">"A31777"</definedName>
    <definedName name="FDD_86_4" hidden="1">"A32142"</definedName>
    <definedName name="FDD_86_5" hidden="1">"A32508"</definedName>
    <definedName name="FDD_86_6" hidden="1">"A32873"</definedName>
    <definedName name="FDD_86_7" hidden="1">"A33238"</definedName>
    <definedName name="FDD_86_8" hidden="1">"A33603"</definedName>
    <definedName name="FDD_86_9" hidden="1">"A33969"</definedName>
    <definedName name="FDD_87_0" hidden="1">"A30681"</definedName>
    <definedName name="FDD_87_1" hidden="1">"A31047"</definedName>
    <definedName name="FDD_87_10" hidden="1">"A34334"</definedName>
    <definedName name="FDD_87_11" hidden="1">"A34699"</definedName>
    <definedName name="FDD_87_12" hidden="1">"A35064"</definedName>
    <definedName name="FDD_87_13" hidden="1">"A35430"</definedName>
    <definedName name="FDD_87_14" hidden="1">"A35795"</definedName>
    <definedName name="FDD_87_2" hidden="1">"A31412"</definedName>
    <definedName name="FDD_87_3" hidden="1">"A31777"</definedName>
    <definedName name="FDD_87_4" hidden="1">"A32142"</definedName>
    <definedName name="FDD_87_5" hidden="1">"A32508"</definedName>
    <definedName name="FDD_87_6" hidden="1">"A32873"</definedName>
    <definedName name="FDD_87_7" hidden="1">"A33238"</definedName>
    <definedName name="FDD_87_8" hidden="1">"A33603"</definedName>
    <definedName name="FDD_87_9" hidden="1">"A33969"</definedName>
    <definedName name="FDD_88_0" hidden="1">"A30681"</definedName>
    <definedName name="FDD_88_1" hidden="1">"A31047"</definedName>
    <definedName name="FDD_88_10" hidden="1">"A34334"</definedName>
    <definedName name="FDD_88_11" hidden="1">"A34699"</definedName>
    <definedName name="FDD_88_12" hidden="1">"A35064"</definedName>
    <definedName name="FDD_88_13" hidden="1">"A35430"</definedName>
    <definedName name="FDD_88_14" hidden="1">"A35795"</definedName>
    <definedName name="FDD_88_2" hidden="1">"A31412"</definedName>
    <definedName name="FDD_88_3" hidden="1">"A31777"</definedName>
    <definedName name="FDD_88_4" hidden="1">"A32142"</definedName>
    <definedName name="FDD_88_5" hidden="1">"A32508"</definedName>
    <definedName name="FDD_88_6" hidden="1">"A32873"</definedName>
    <definedName name="FDD_88_7" hidden="1">"A33238"</definedName>
    <definedName name="FDD_88_8" hidden="1">"A33603"</definedName>
    <definedName name="FDD_88_9" hidden="1">"A33969"</definedName>
    <definedName name="FDD_89_0" hidden="1">"A30681"</definedName>
    <definedName name="FDD_89_1" hidden="1">"A31047"</definedName>
    <definedName name="FDD_89_10" hidden="1">"A34334"</definedName>
    <definedName name="FDD_89_11" hidden="1">"A34699"</definedName>
    <definedName name="FDD_89_12" hidden="1">"A35064"</definedName>
    <definedName name="FDD_89_13" hidden="1">"A35430"</definedName>
    <definedName name="FDD_89_14" hidden="1">"A35795"</definedName>
    <definedName name="FDD_89_2" hidden="1">"A31412"</definedName>
    <definedName name="FDD_89_3" hidden="1">"A31777"</definedName>
    <definedName name="FDD_89_4" hidden="1">"A32142"</definedName>
    <definedName name="FDD_89_5" hidden="1">"A32508"</definedName>
    <definedName name="FDD_89_6" hidden="1">"A32873"</definedName>
    <definedName name="FDD_89_7" hidden="1">"A33238"</definedName>
    <definedName name="FDD_89_8" hidden="1">"A33603"</definedName>
    <definedName name="FDD_89_9" hidden="1">"A33969"</definedName>
    <definedName name="FDD_9_0" hidden="1">"A25569"</definedName>
    <definedName name="FDD_90_0" hidden="1">"A30681"</definedName>
    <definedName name="FDD_90_1" hidden="1">"A31047"</definedName>
    <definedName name="FDD_90_10" hidden="1">"A34334"</definedName>
    <definedName name="FDD_90_11" hidden="1">"A34699"</definedName>
    <definedName name="FDD_90_12" hidden="1">"A35064"</definedName>
    <definedName name="FDD_90_13" hidden="1">"A35430"</definedName>
    <definedName name="FDD_90_14" hidden="1">"A35795"</definedName>
    <definedName name="FDD_90_2" hidden="1">"A31412"</definedName>
    <definedName name="FDD_90_3" hidden="1">"A31777"</definedName>
    <definedName name="FDD_90_4" hidden="1">"A32142"</definedName>
    <definedName name="FDD_90_5" hidden="1">"A32508"</definedName>
    <definedName name="FDD_90_6" hidden="1">"A32873"</definedName>
    <definedName name="FDD_90_7" hidden="1">"A33238"</definedName>
    <definedName name="FDD_90_8" hidden="1">"A33603"</definedName>
    <definedName name="FDD_90_9" hidden="1">"A33969"</definedName>
    <definedName name="FDD_91_0" hidden="1">"A30681"</definedName>
    <definedName name="FDD_91_1" hidden="1">"A31047"</definedName>
    <definedName name="FDD_91_10" hidden="1">"A34334"</definedName>
    <definedName name="FDD_91_11" hidden="1">"A34699"</definedName>
    <definedName name="FDD_91_12" hidden="1">"A35064"</definedName>
    <definedName name="FDD_91_13" hidden="1">"A35430"</definedName>
    <definedName name="FDD_91_14" hidden="1">"A35795"</definedName>
    <definedName name="FDD_91_2" hidden="1">"A31412"</definedName>
    <definedName name="FDD_91_3" hidden="1">"A31777"</definedName>
    <definedName name="FDD_91_4" hidden="1">"A32142"</definedName>
    <definedName name="FDD_91_5" hidden="1">"A32508"</definedName>
    <definedName name="FDD_91_6" hidden="1">"A32873"</definedName>
    <definedName name="FDD_91_7" hidden="1">"A33238"</definedName>
    <definedName name="FDD_91_8" hidden="1">"A33603"</definedName>
    <definedName name="FDD_91_9" hidden="1">"A33969"</definedName>
    <definedName name="FDD_92_0" hidden="1">"A30681"</definedName>
    <definedName name="FDD_92_1" hidden="1">"A31047"</definedName>
    <definedName name="FDD_92_10" hidden="1">"A34334"</definedName>
    <definedName name="FDD_92_11" hidden="1">"A34699"</definedName>
    <definedName name="FDD_92_12" hidden="1">"A35064"</definedName>
    <definedName name="FDD_92_13" hidden="1">"A35430"</definedName>
    <definedName name="FDD_92_14" hidden="1">"A35795"</definedName>
    <definedName name="FDD_92_2" hidden="1">"A31412"</definedName>
    <definedName name="FDD_92_3" hidden="1">"A31777"</definedName>
    <definedName name="FDD_92_4" hidden="1">"A32142"</definedName>
    <definedName name="FDD_92_5" hidden="1">"A32508"</definedName>
    <definedName name="FDD_92_6" hidden="1">"A32873"</definedName>
    <definedName name="FDD_92_7" hidden="1">"A33238"</definedName>
    <definedName name="FDD_92_8" hidden="1">"A33603"</definedName>
    <definedName name="FDD_92_9" hidden="1">"A33969"</definedName>
    <definedName name="FDD_93_0" hidden="1">"A30681"</definedName>
    <definedName name="FDD_93_1" hidden="1">"A31047"</definedName>
    <definedName name="FDD_93_10" hidden="1">"A34334"</definedName>
    <definedName name="FDD_93_11" hidden="1">"A34699"</definedName>
    <definedName name="FDD_93_12" hidden="1">"A35064"</definedName>
    <definedName name="FDD_93_13" hidden="1">"A35430"</definedName>
    <definedName name="FDD_93_14" hidden="1">"A35795"</definedName>
    <definedName name="FDD_93_2" hidden="1">"A31412"</definedName>
    <definedName name="FDD_93_3" hidden="1">"A31777"</definedName>
    <definedName name="FDD_93_4" hidden="1">"A32142"</definedName>
    <definedName name="FDD_93_5" hidden="1">"A32508"</definedName>
    <definedName name="FDD_93_6" hidden="1">"A32873"</definedName>
    <definedName name="FDD_93_7" hidden="1">"A33238"</definedName>
    <definedName name="FDD_93_8" hidden="1">"A33603"</definedName>
    <definedName name="FDD_93_9" hidden="1">"A33969"</definedName>
    <definedName name="FDD_94_0" hidden="1">"A30681"</definedName>
    <definedName name="FDD_94_1" hidden="1">"A31047"</definedName>
    <definedName name="FDD_94_10" hidden="1">"A34334"</definedName>
    <definedName name="FDD_94_11" hidden="1">"A34699"</definedName>
    <definedName name="FDD_94_12" hidden="1">"A35064"</definedName>
    <definedName name="FDD_94_13" hidden="1">"A35430"</definedName>
    <definedName name="FDD_94_14" hidden="1">"A35795"</definedName>
    <definedName name="FDD_94_2" hidden="1">"A31412"</definedName>
    <definedName name="FDD_94_3" hidden="1">"A31777"</definedName>
    <definedName name="FDD_94_4" hidden="1">"A32142"</definedName>
    <definedName name="FDD_94_5" hidden="1">"A32508"</definedName>
    <definedName name="FDD_94_6" hidden="1">"A32873"</definedName>
    <definedName name="FDD_94_7" hidden="1">"A33238"</definedName>
    <definedName name="FDD_94_8" hidden="1">"A33603"</definedName>
    <definedName name="FDD_94_9" hidden="1">"A33969"</definedName>
    <definedName name="FDD_95_0" hidden="1">"A30681"</definedName>
    <definedName name="FDD_95_1" hidden="1">"A31047"</definedName>
    <definedName name="FDD_95_10" hidden="1">"A34334"</definedName>
    <definedName name="FDD_95_11" hidden="1">"A34699"</definedName>
    <definedName name="FDD_95_12" hidden="1">"A35064"</definedName>
    <definedName name="FDD_95_13" hidden="1">"A35430"</definedName>
    <definedName name="FDD_95_14" hidden="1">"A35795"</definedName>
    <definedName name="FDD_95_2" hidden="1">"A31412"</definedName>
    <definedName name="FDD_95_3" hidden="1">"A31777"</definedName>
    <definedName name="FDD_95_4" hidden="1">"A32142"</definedName>
    <definedName name="FDD_95_5" hidden="1">"A32508"</definedName>
    <definedName name="FDD_95_6" hidden="1">"A32873"</definedName>
    <definedName name="FDD_95_7" hidden="1">"A33238"</definedName>
    <definedName name="FDD_95_8" hidden="1">"A33603"</definedName>
    <definedName name="FDD_95_9" hidden="1">"A33969"</definedName>
    <definedName name="FDD_96_0" hidden="1">"U30681"</definedName>
    <definedName name="FDD_96_1" hidden="1">"A31047"</definedName>
    <definedName name="FDD_96_10" hidden="1">"A34334"</definedName>
    <definedName name="FDD_96_11" hidden="1">"A34699"</definedName>
    <definedName name="FDD_96_12" hidden="1">"A35064"</definedName>
    <definedName name="FDD_96_13" hidden="1">"A35430"</definedName>
    <definedName name="FDD_96_14" hidden="1">"A35795"</definedName>
    <definedName name="FDD_96_2" hidden="1">"A31412"</definedName>
    <definedName name="FDD_96_3" hidden="1">"A31777"</definedName>
    <definedName name="FDD_96_4" hidden="1">"A32142"</definedName>
    <definedName name="FDD_96_5" hidden="1">"A32508"</definedName>
    <definedName name="FDD_96_6" hidden="1">"A32873"</definedName>
    <definedName name="FDD_96_7" hidden="1">"A33238"</definedName>
    <definedName name="FDD_96_8" hidden="1">"A33603"</definedName>
    <definedName name="FDD_96_9" hidden="1">"A33969"</definedName>
    <definedName name="FDD_97_0" hidden="1">"U30681"</definedName>
    <definedName name="FDD_97_1" hidden="1">"A31047"</definedName>
    <definedName name="FDD_97_10" hidden="1">"A34334"</definedName>
    <definedName name="FDD_97_11" hidden="1">"A34699"</definedName>
    <definedName name="FDD_97_12" hidden="1">"A35064"</definedName>
    <definedName name="FDD_97_13" hidden="1">"A35430"</definedName>
    <definedName name="FDD_97_14" hidden="1">"A35795"</definedName>
    <definedName name="FDD_97_2" hidden="1">"A31412"</definedName>
    <definedName name="FDD_97_3" hidden="1">"A31777"</definedName>
    <definedName name="FDD_97_4" hidden="1">"A32142"</definedName>
    <definedName name="FDD_97_5" hidden="1">"A32508"</definedName>
    <definedName name="FDD_97_6" hidden="1">"A32873"</definedName>
    <definedName name="FDD_97_7" hidden="1">"A33238"</definedName>
    <definedName name="FDD_97_8" hidden="1">"A33603"</definedName>
    <definedName name="FDD_97_9" hidden="1">"A33969"</definedName>
    <definedName name="FDD_98_0" hidden="1">"U30681"</definedName>
    <definedName name="FDD_98_1" hidden="1">"A31047"</definedName>
    <definedName name="FDD_98_10" hidden="1">"A34334"</definedName>
    <definedName name="FDD_98_11" hidden="1">"A34699"</definedName>
    <definedName name="FDD_98_12" hidden="1">"A35064"</definedName>
    <definedName name="FDD_98_13" hidden="1">"A35430"</definedName>
    <definedName name="FDD_98_14" hidden="1">"A35795"</definedName>
    <definedName name="FDD_98_2" hidden="1">"A31412"</definedName>
    <definedName name="FDD_98_3" hidden="1">"A31777"</definedName>
    <definedName name="FDD_98_4" hidden="1">"A32142"</definedName>
    <definedName name="FDD_98_5" hidden="1">"A32508"</definedName>
    <definedName name="FDD_98_6" hidden="1">"A32873"</definedName>
    <definedName name="FDD_98_7" hidden="1">"A33238"</definedName>
    <definedName name="FDD_98_8" hidden="1">"A33603"</definedName>
    <definedName name="FDD_98_9" hidden="1">"A33969"</definedName>
    <definedName name="FDD_99_0" hidden="1">"U30681"</definedName>
    <definedName name="FDD_99_1" hidden="1">"A31047"</definedName>
    <definedName name="FDD_99_10" hidden="1">"A34334"</definedName>
    <definedName name="FDD_99_11" hidden="1">"A34699"</definedName>
    <definedName name="FDD_99_12" hidden="1">"A35064"</definedName>
    <definedName name="FDD_99_13" hidden="1">"A35430"</definedName>
    <definedName name="FDD_99_14" hidden="1">"A35795"</definedName>
    <definedName name="FDD_99_2" hidden="1">"A31412"</definedName>
    <definedName name="FDD_99_3" hidden="1">"A31777"</definedName>
    <definedName name="FDD_99_4" hidden="1">"A32142"</definedName>
    <definedName name="FDD_99_5" hidden="1">"A32508"</definedName>
    <definedName name="FDD_99_6" hidden="1">"A32873"</definedName>
    <definedName name="FDD_99_7" hidden="1">"A33238"</definedName>
    <definedName name="FDD_99_8" hidden="1">"A33603"</definedName>
    <definedName name="FDD_99_9" hidden="1">"A33969"</definedName>
    <definedName name="fdhgfj" hidden="1">{"adj95mult",#N/A,FALSE,"COMPCO";"adj95est",#N/A,FALSE,"COMPCO"}</definedName>
    <definedName name="FF" hidden="1">{"ProspettoImposte",#N/A,FALSE,"Prospetto imposte"}</definedName>
    <definedName name="ffefe" hidden="1">{"adj95mult",#N/A,FALSE,"COMPCO";"adj95est",#N/A,FALSE,"COMPCO"}</definedName>
    <definedName name="fg" hidden="1">{"sales",#N/A,FALSE,"Sales";"sales existing",#N/A,FALSE,"Sales";"sales rd1",#N/A,FALSE,"Sales";"sales rd2",#N/A,FALSE,"Sales"}</definedName>
    <definedName name="fkjfdh" hidden="1">{"mult96",#N/A,FALSE,"PETCOMP";"est96",#N/A,FALSE,"PETCOMP";"mult95",#N/A,FALSE,"PETCOMP";"est95",#N/A,FALSE,"PETCOMP";"multltm",#N/A,FALSE,"PETCOMP";"resultltm",#N/A,FALSE,"PETCOMP"}</definedName>
    <definedName name="fwwefwef" hidden="1">{"Ebit GuV",#N/A,FALSE,"EBIT";"Finanzbedarf1",#N/A,FALSE,"Finanzbedarf";"GuV",#N/A,FALSE,"1.GUV";"GuV Hist. 2",#N/A,FALSE,"1.GUV";"GuV Plan3",#N/A,FALSE,"1.GUV";"Bilanz Aktiva Hist",#N/A,FALSE,"2.Bilanz ";"Bilanz Passiva Hist",#N/A,FALSE,"2.Bilanz ";"Bilanz Aktiva Plan",#N/A,FALSE,"2.Bilanz ";"Bilanz Passiva Plan",#N/A,FALSE,"2.Bilanz ";"Personal Hist",#N/A,FALSE,"1.1.2. Personal";"Personal Plan",#N/A,FALSE,"1.1.2. Personal";"Umschalter AV",#N/A,FALSE,"2.2.Umschalter Anlagevermögen";"AV 93 95",#N/A,FALSE,"2.2.1.Anlagevermögen (Hist.)";"AV Plan 97 98",#N/A,FALSE,"2.2.2.AV Plan";"AV 95 97",#N/A,FALSE,"2.2.1.Anlagevermögen (Hist.)";"AV Plan 98 00",#N/A,FALSE,"2.2.2.AV Plan";"AV Plan 00 01",#N/A,FALSE,"2.2.2.AV Plan"}</definedName>
    <definedName name="gb" hidden="1">{TRUE,TRUE,-2,-16.25,774,494.25,FALSE,TRUE,TRUE,TRUE,0,1,#N/A,1,#N/A,27.1,63.6451612903226,1,FALSE,FALSE,3,TRUE,1,FALSE,75,"Swvu.Page1.","ACwvu.Page1.",#N/A,FALSE,FALSE,0.236220472440945,0.275590551181102,0.236220472440945,0.275590551181102,2,"","",TRUE,TRUE,FALSE,FALSE,1,83,#N/A,#N/A,"=R4C1:R64C22",FALSE,"Rwvu.Page1.","Cwvu.Page1.",FALSE,FALSE,TRUE,1,#N/A,#N/A,FALSE,FALSE,TRUE,TRUE,TRUE}</definedName>
    <definedName name="Generale" hidden="1">{#N/A,#N/A,FALSE,"1";#N/A,#N/A,FALSE,"2";#N/A,#N/A,FALSE,"3";#N/A,#N/A,FALSE,"4";#N/A,#N/A,FALSE,"5";#N/A,#N/A,FALSE,"6";#N/A,#N/A,FALSE,"7";#N/A,#N/A,FALSE,"8";#N/A,#N/A,FALSE,"9";#N/A,#N/A,FALSE,"10";#N/A,#N/A,FALSE,"11";#N/A,#N/A,FALSE,"12";#N/A,#N/A,FALSE,"13";#N/A,#N/A,FALSE,"14";#N/A,#N/A,FALSE,"15";#N/A,#N/A,FALSE,"A1";#N/A,#N/A,FALSE,"A2";#N/A,#N/A,FALSE,"A3"}</definedName>
    <definedName name="gfbngfn" hidden="1">{TRUE,TRUE,-2,-16.25,774,494.25,FALSE,TRUE,TRUE,TRUE,0,32,#N/A,1,#N/A,31.0666666666667,63.6451612903226,1,FALSE,FALSE,3,TRUE,1,FALSE,75,"Swvu.Page3.","ACwvu.Page3.",#N/A,FALSE,FALSE,0.236220472440945,0.275590551181102,0.236220472440945,0.275590551181102,2,"","",TRUE,TRUE,FALSE,FALSE,1,83,#N/A,#N/A,"=R4C48:R64C71",FALSE,"Rwvu.Page3.","Cwvu.Page3.",FALSE,FALSE,TRUE,1,#N/A,#N/A,FALSE,FALSE,TRUE,TRUE,TRUE}</definedName>
    <definedName name="gh" hidden="1">{"targetdcf",#N/A,FALSE,"Merger consequences";"TARGETASSU",#N/A,FALSE,"Merger consequences";"TERMINAL VALUE",#N/A,FALSE,"Merger consequences"}</definedName>
    <definedName name="ghdf" hidden="1">{"Acq_matrix",#N/A,FALSE,"Acquisition Matrix"}</definedName>
    <definedName name="ghf" hidden="1">{TRUE,TRUE,-2,-16.25,774,494.25,FALSE,TRUE,TRUE,TRUE,0,32,#N/A,1,#N/A,31.0666666666667,63.6451612903226,1,FALSE,FALSE,3,TRUE,1,FALSE,75,"Swvu.Page3.","ACwvu.Page3.",#N/A,FALSE,FALSE,0.236220472440945,0.275590551181102,0.236220472440945,0.275590551181102,2,"","",TRUE,TRUE,FALSE,FALSE,1,83,#N/A,#N/A,"=R4C48:R64C71",FALSE,"Rwvu.Page3.","Cwvu.Page3.",FALSE,FALSE,TRUE,1,#N/A,#N/A,FALSE,FALSE,TRUE,TRUE,TRUE}</definedName>
    <definedName name="gjsf" hidden="1">{"targetdcf",#N/A,FALSE,"Merger consequences";"TARGETASSU",#N/A,FALSE,"Merger consequences";"TERMINAL VALUE",#N/A,FALSE,"Merger consequences"}</definedName>
    <definedName name="Gr_D" hidden="1">{"'WEB azoc prov'!$B$85:$L$123"}</definedName>
    <definedName name="Graphs4" hidden="1">{"vi1",#N/A,FALSE,"Financial Statements";"vi2",#N/A,FALSE,"Financial Statements";#N/A,#N/A,FALSE,"DCF"}</definedName>
    <definedName name="gre" hidden="1">{TRUE,TRUE,-2,-16.25,774,494.25,FALSE,TRUE,TRUE,TRUE,0,1,#N/A,1,#N/A,27.1,63.6451612903226,1,FALSE,FALSE,3,TRUE,1,FALSE,75,"Swvu.Page1.","ACwvu.Page1.",#N/A,FALSE,FALSE,0.236220472440945,0.275590551181102,0.236220472440945,0.275590551181102,2,"","",TRUE,TRUE,FALSE,FALSE,1,83,#N/A,#N/A,"=R4C1:R64C22",FALSE,"Rwvu.Page1.","Cwvu.Page1.",FALSE,FALSE,TRUE,1,#N/A,#N/A,FALSE,FALSE,TRUE,TRUE,TRUE}</definedName>
    <definedName name="gvbg" hidden="1">{"Ebit GuV",#N/A,FALSE,"EBIT";"Finanzbedarf1",#N/A,FALSE,"Finanzbedarf";"GuV",#N/A,FALSE,"1.GUV";"GuV Hist. 2",#N/A,FALSE,"1.GUV";"GuV Plan3",#N/A,FALSE,"1.GUV";"Bilanz Aktiva Hist",#N/A,FALSE,"2.Bilanz ";"Bilanz Passiva Hist",#N/A,FALSE,"2.Bilanz ";"Bilanz Aktiva Plan",#N/A,FALSE,"2.Bilanz ";"Bilanz Passiva Plan",#N/A,FALSE,"2.Bilanz ";"Personal Hist",#N/A,FALSE,"1.1.2. Personal";"Personal Plan",#N/A,FALSE,"1.1.2. Personal";"Umschalter AV",#N/A,FALSE,"2.2.Umschalter Anlagevermögen";"AV 93 95",#N/A,FALSE,"2.2.1.Anlagevermögen (Hist.)";"AV Plan 97 98",#N/A,FALSE,"2.2.2.AV Plan";"AV 95 97",#N/A,FALSE,"2.2.1.Anlagevermögen (Hist.)";"AV Plan 98 00",#N/A,FALSE,"2.2.2.AV Plan";"AV Plan 00 01",#N/A,FALSE,"2.2.2.AV Plan"}</definedName>
    <definedName name="hgfy" hidden="1">{TRUE,TRUE,-2,-16.25,774,494.25,FALSE,TRUE,TRUE,TRUE,0,6,#N/A,1,#N/A,33.1333333333333,63.6451612903226,1,FALSE,FALSE,3,TRUE,1,FALSE,75,"Swvu.Page2.","ACwvu.Page2.",#N/A,FALSE,FALSE,0.236220472440945,0.275590551181102,0.236220472440945,0.275590551181102,2,"","",TRUE,TRUE,FALSE,FALSE,1,83,#N/A,#N/A,"=R4C25:R64C47",FALSE,"Rwvu.Page2.","Cwvu.Page2.",FALSE,FALSE,TRUE,1,#N/A,#N/A,FALSE,FALSE,TRUE,TRUE,TRUE}</definedName>
    <definedName name="hgh" hidden="1">{"'WEB azoc prov'!$B$85:$L$123"}</definedName>
    <definedName name="HH" hidden="1">{"ProspettoImposte",#N/A,FALSE,"Prospetto imposte"}</definedName>
    <definedName name="hjhglkfg" hidden="1">{"AQUIRORDCF",#N/A,FALSE,"Merger consequences";"Acquirorassns",#N/A,FALSE,"Merger consequences"}</definedName>
    <definedName name="HTML_CodePage" hidden="1">1252</definedName>
    <definedName name="HTML_Control" hidden="1">{"'777'!$A$1:$H$41"}</definedName>
    <definedName name="HTML_Description" hidden="1">""</definedName>
    <definedName name="HTML_Email" hidden="1">""</definedName>
    <definedName name="HTML_Header" hidden="1">""</definedName>
    <definedName name="HTML_LastUpdate" hidden="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1</definedName>
    <definedName name="HTML_PathFile" hidden="1">"C:\Documenti\Pagine Web\SYS AZ&amp;OC gen99 def.htm"</definedName>
    <definedName name="HTML_PathFileMac" hidden="1">"Macintosh HD:Desktop Folder:www=Ward Web Wars:777.html"</definedName>
    <definedName name="HTML_Title" hidden="1">""</definedName>
    <definedName name="iei" hidden="1">{"Acq_matrix",#N/A,FALSE,"Acquisition Matrix"}</definedName>
    <definedName name="ik" hidden="1">{"mult96",#N/A,FALSE,"PETCOMP";"est96",#N/A,FALSE,"PETCOMP";"mult95",#N/A,FALSE,"PETCOMP";"est95",#N/A,FALSE,"PETCOMP";"multltm",#N/A,FALSE,"PETCOMP";"resultltm",#N/A,FALSE,"PETCOMP"}</definedName>
    <definedName name="iopy" hidden="1">{"targetdcf",#N/A,FALSE,"Merger consequences";"TARGETASSU",#N/A,FALSE,"Merger consequences";"TERMINAL VALUE",#N/A,FALSE,"Merger consequences"}</definedName>
    <definedName name="IQ_ACCOUNT_CHANGE" hidden="1">"c413"</definedName>
    <definedName name="IQ_ACCOUNTS_PAY" hidden="1">"c32"</definedName>
    <definedName name="IQ_ACCR_INT_PAY" hidden="1">"c1"</definedName>
    <definedName name="IQ_ACCR_INT_PAY_CF" hidden="1">"c2"</definedName>
    <definedName name="IQ_ACCR_INT_RECEIV" hidden="1">"c3"</definedName>
    <definedName name="IQ_ACCR_INT_RECEIV_CF" hidden="1">"c4"</definedName>
    <definedName name="IQ_ACCRUED_EXP" hidden="1">"c8"</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"c7"</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"c39"</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"c16"</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"c1471"</definedName>
    <definedName name="IQ_AMT_OUT" hidden="1">"c2145"</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PRICE_TARGET" hidden="1">"c82"</definedName>
    <definedName name="IQ_AVG_SHAREOUTSTANDING" hidden="1">"c83"</definedName>
    <definedName name="IQ_AVG_TEV" hidden="1">"c84"</definedName>
    <definedName name="IQ_AVG_VOLUME" hidden="1">"c65"</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"c88"</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ROK_COMISSION" hidden="1">"c98"</definedName>
    <definedName name="IQ_BUILDINGS" hidden="1">"c99"</definedName>
    <definedName name="IQ_BUSINESS_DESCRIPTION" hidden="1">"c322"</definedName>
    <definedName name="IQ_BV_OVER_SHARES" hidden="1">"c100"</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L_DATE_SCHEDULE" hidden="1">"c2481"</definedName>
    <definedName name="IQ_CALL_FEATURE" hidden="1">"c2197"</definedName>
    <definedName name="IQ_CALL_PRICE_SCHEDULE" hidden="1">"c2482"</definedName>
    <definedName name="IQ_CALLABLE" hidden="1">"c2196"</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"c115"</definedName>
    <definedName name="IQ_CAPITAL_LEASES" hidden="1">"c115"</definedName>
    <definedName name="IQ_CAPITAL_LEASES_TOTAL" hidden="1">"c3031"</definedName>
    <definedName name="IQ_CAPITAL_LEASES_TOTAL_PCT" hidden="1">"c2506"</definedName>
    <definedName name="IQ_CAPITALIZED_INTEREST" hidden="1">"c2076"</definedName>
    <definedName name="IQ_CASH" hidden="1">"c118"</definedName>
    <definedName name="IQ_CASH_ACQUIRE_CF" hidden="1">"c1630"</definedName>
    <definedName name="IQ_CASH_CONVERSION" hidden="1">"c117"</definedName>
    <definedName name="IQ_CASH_DUE_BANKS" hidden="1">"c118"</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"c124"</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FPS_EST" hidden="1">"c1667"</definedName>
    <definedName name="IQ_CFPS_HIGH_EST" hidden="1">"c1669"</definedName>
    <definedName name="IQ_CFPS_LOW_EST" hidden="1">"c1670"</definedName>
    <definedName name="IQ_CFPS_MEDIAN_EST" hidden="1">"c1668"</definedName>
    <definedName name="IQ_CFPS_NUM_EST" hidden="1">"c1671"</definedName>
    <definedName name="IQ_CFPS_STDDEV_EST" hidden="1">"c1672"</definedName>
    <definedName name="IQ_CH" hidden="1">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WORKING_CAPITAL" hidden="1">"c1909"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"c161"</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"c182"</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DATE" hidden="1">"c2191"</definedName>
    <definedName name="IQ_CONV_EXP_DATE" hidden="1">"c3043"</definedName>
    <definedName name="IQ_CONV_PREMIUM" hidden="1">"c2195"</definedName>
    <definedName name="IQ_CONV_PRICE" hidden="1">"c2193"</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PCT" hidden="1">"c2537"</definedName>
    <definedName name="IQ_CONVEXITY" hidden="1">"c2182"</definedName>
    <definedName name="IQ_COST_BORROWING" hidden="1">"c2936"</definedName>
    <definedName name="IQ_COST_BORROWINGS" hidden="1">"c225"</definedName>
    <definedName name="IQ_COST_REV" hidden="1">"c226"</definedName>
    <definedName name="IQ_COST_REVENUE" hidden="1">"c226"</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ILY" hidden="1">500000</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"c274"</definedName>
    <definedName name="IQ_DAYS_PAYABLE_OUT" hidden="1">"c274"</definedName>
    <definedName name="IQ_DAYS_SALES_OUT" hidden="1">"c275"</definedName>
    <definedName name="IQ_DAYS_SALES_OUTST" hidden="1">"c275"</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"c301"</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"c313"</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"c315"</definedName>
    <definedName name="IQ_DEFERRED_TAXES" hidden="1">"c147"</definedName>
    <definedName name="IQ_DEMAND_DEP" hidden="1">"c320"</definedName>
    <definedName name="IQ_DEPOSITS_FIN" hidden="1">"c321"</definedName>
    <definedName name="IQ_DEPRE_AMORT" hidden="1">"c247"</definedName>
    <definedName name="IQ_DEPRE_AMORT_SUPPL" hidden="1">"c1593"</definedName>
    <definedName name="IQ_DEPRE_DEPLE" hidden="1">"c261"</definedName>
    <definedName name="IQ_DEPRE_SUPP" hidden="1">"c1443"</definedName>
    <definedName name="IQ_DESCRIPTION_LONG" hidden="1">"c322"</definedName>
    <definedName name="IQ_DEVELOP_LAND" hidden="1">"c323"</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"c333"</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"c2106"</definedName>
    <definedName name="IQ_DIV_RECORD_DATE" hidden="1">"c2105"</definedName>
    <definedName name="IQ_DIV_SHARE" hidden="1">"c330"</definedName>
    <definedName name="IQ_DIVEST_CF" hidden="1">"c331"</definedName>
    <definedName name="IQ_DIVID_SHARE" hidden="1">"c330"</definedName>
    <definedName name="IQ_DIVIDEND_YIELD" hidden="1">"c332"</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PS_EST" hidden="1">"c1674"</definedName>
    <definedName name="IQ_DPS_HIGH_EST" hidden="1">"c1676"</definedName>
    <definedName name="IQ_DPS_LOW_EST" hidden="1">"c1677"</definedName>
    <definedName name="IQ_DPS_MEDIAN_EST" hidden="1">"c1675"</definedName>
    <definedName name="IQ_DPS_NUM_EST" hidden="1">"c1678"</definedName>
    <definedName name="IQ_DPS_STDDEV_EST" hidden="1">"c1679"</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ST" hidden="1">"c1681"</definedName>
    <definedName name="IQ_EBIT_HIGH_EST" hidden="1">"c1683"</definedName>
    <definedName name="IQ_EBIT_INT" hidden="1">"c360"</definedName>
    <definedName name="IQ_EBIT_LOW_EST" hidden="1">"c1684"</definedName>
    <definedName name="IQ_EBIT_MARGIN" hidden="1">"c359"</definedName>
    <definedName name="IQ_EBIT_MEDIAN_EST" hidden="1">"c1682"</definedName>
    <definedName name="IQ_EBIT_NUM_EST" hidden="1">"c1685"</definedName>
    <definedName name="IQ_EBIT_OVER_IE" hidden="1">"c360"</definedName>
    <definedName name="IQ_EBIT_STDDEV_EST" hidden="1">"c1686"</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"c368"</definedName>
    <definedName name="IQ_EBITDA_EST" hidden="1">"c369"</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"c373"</definedName>
    <definedName name="IQ_EBITDA_STDDEV_EST" hidden="1">"c375"</definedName>
    <definedName name="IQ_EBITDAR" hidden="1">"c2989"</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"c84"</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GW_EST" hidden="1">"c1737"</definedName>
    <definedName name="IQ_EPS_GW_HIGH_EST" hidden="1">"c1739"</definedName>
    <definedName name="IQ_EPS_GW_LOW_EST" hidden="1">"c1740"</definedName>
    <definedName name="IQ_EPS_GW_MEDIAN_EST" hidden="1">"c1738"</definedName>
    <definedName name="IQ_EPS_GW_NUM_EST" hidden="1">"c1741"</definedName>
    <definedName name="IQ_EPS_GW_STDDEV_EST" hidden="1">"c1742"</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REPORTED_EST" hidden="1">"c1744"</definedName>
    <definedName name="IQ_EPS_REPORTED_HIGH_EST" hidden="1">"c1746"</definedName>
    <definedName name="IQ_EPS_REPORTED_LOW_EST" hidden="1">"c1747"</definedName>
    <definedName name="IQ_EPS_REPORTED_MEDIAN_EST" hidden="1">"c1745"</definedName>
    <definedName name="IQ_EPS_REPORTED_NUM_EST" hidden="1">"c1748"</definedName>
    <definedName name="IQ_EPS_REPORTED_STDDEV_EST" hidden="1">"c1749"</definedName>
    <definedName name="IQ_EPS_STDDEV_EST" hidden="1">"c403"</definedName>
    <definedName name="IQ_EQUITY_AFFIL" hidden="1">"c552"</definedName>
    <definedName name="IQ_EQUITY_METHOD" hidden="1">"c404"</definedName>
    <definedName name="IQ_EQV_OVER_BV" hidden="1">"c1596"</definedName>
    <definedName name="IQ_EQV_OVER_LTM_PRETAX_INC" hidden="1">"c739"</definedName>
    <definedName name="IQ_ESOP_DEBT" hidden="1">"c1597"</definedName>
    <definedName name="IQ_EST_ACT_CFPS" hidden="1">"c1673"</definedName>
    <definedName name="IQ_EST_ACT_DPS" hidden="1">"c1680"</definedName>
    <definedName name="IQ_EST_ACT_EBIT" hidden="1">"c1687"</definedName>
    <definedName name="IQ_EST_ACT_EBITDA" hidden="1">"c1664"</definedName>
    <definedName name="IQ_EST_ACT_EPS" hidden="1">"c1648"</definedName>
    <definedName name="IQ_EST_ACT_EPS_GW" hidden="1">"c1743"</definedName>
    <definedName name="IQ_EST_ACT_EPS_REPORTED" hidden="1">"c1750"</definedName>
    <definedName name="IQ_EST_ACT_FFO" hidden="1">"c1666"</definedName>
    <definedName name="IQ_EST_ACT_NAV" hidden="1">"c1757"</definedName>
    <definedName name="IQ_EST_ACT_NI" hidden="1">"c1722"</definedName>
    <definedName name="IQ_EST_ACT_NI_GW" hidden="1">"c1729"</definedName>
    <definedName name="IQ_EST_ACT_NI_REPORTED" hidden="1">"c1736"</definedName>
    <definedName name="IQ_EST_ACT_OPER_INC" hidden="1">"c1694"</definedName>
    <definedName name="IQ_EST_ACT_PRETAX_GW_INC" hidden="1">"c1708"</definedName>
    <definedName name="IQ_EST_ACT_PRETAX_INC" hidden="1">"c1701"</definedName>
    <definedName name="IQ_EST_ACT_PRETAX_REPORT_INC" hidden="1">"c1715"</definedName>
    <definedName name="IQ_EST_ACT_REV" hidden="1">"c2113"</definedName>
    <definedName name="IQ_EST_CFPS_DIFF" hidden="1">"c1871"</definedName>
    <definedName name="IQ_EST_CFPS_GROWTH_1YR" hidden="1">"c1774"</definedName>
    <definedName name="IQ_EST_CFPS_GROWTH_2YR" hidden="1">"c1775"</definedName>
    <definedName name="IQ_EST_CFPS_GROWTH_Q_1YR" hidden="1">"c1776"</definedName>
    <definedName name="IQ_EST_CFPS_SEQ_GROWTH_Q" hidden="1">"c1777"</definedName>
    <definedName name="IQ_EST_CFPS_SURPRISE_PERCENT" hidden="1">"c1872"</definedName>
    <definedName name="IQ_EST_CURRENCY" hidden="1">"c2140"</definedName>
    <definedName name="IQ_EST_DATE" hidden="1">"c1634"</definedName>
    <definedName name="IQ_EST_DPS_DIFF" hidden="1">"c1873"</definedName>
    <definedName name="IQ_EST_DPS_GROWTH_1YR" hidden="1">"c1778"</definedName>
    <definedName name="IQ_EST_DPS_GROWTH_2YR" hidden="1">"c1779"</definedName>
    <definedName name="IQ_EST_DPS_GROWTH_Q_1YR" hidden="1">"c1780"</definedName>
    <definedName name="IQ_EST_DPS_SEQ_GROWTH_Q" hidden="1">"c1781"</definedName>
    <definedName name="IQ_EST_DPS_SURPRISE_PERCENT" hidden="1">"c1874"</definedName>
    <definedName name="IQ_EST_EBIT_DIFF" hidden="1">"c1875"</definedName>
    <definedName name="IQ_EST_EBIT_SURPRISE_PERCENT" hidden="1">"c1876"</definedName>
    <definedName name="IQ_EST_EBITDA_DIFF" hidden="1">"c1867"</definedName>
    <definedName name="IQ_EST_EBITDA_GROWTH_1YR" hidden="1">"c1766"</definedName>
    <definedName name="IQ_EST_EBITDA_GROWTH_2YR" hidden="1">"c1767"</definedName>
    <definedName name="IQ_EST_EBITDA_GROWTH_Q_1YR" hidden="1">"c1768"</definedName>
    <definedName name="IQ_EST_EBITDA_SEQ_GROWTH_Q" hidden="1">"c1769"</definedName>
    <definedName name="IQ_EST_EBITDA_SURPRISE_PERCENT" hidden="1">"c1868"</definedName>
    <definedName name="IQ_EST_EPS_DIFF" hidden="1">"c1864"</definedName>
    <definedName name="IQ_EST_EPS_GROWTH_1YR" hidden="1">"c1636"</definedName>
    <definedName name="IQ_EST_EPS_GROWTH_2YR" hidden="1">"c1637"</definedName>
    <definedName name="IQ_EST_EPS_GROWTH_5YR" hidden="1">"c1655"</definedName>
    <definedName name="IQ_EST_EPS_GROWTH_5YR_HIGH" hidden="1">"c1657"</definedName>
    <definedName name="IQ_EST_EPS_GROWTH_5YR_LOW" hidden="1">"c1658"</definedName>
    <definedName name="IQ_EST_EPS_GROWTH_5YR_MEDIAN" hidden="1">"c1656"</definedName>
    <definedName name="IQ_EST_EPS_GROWTH_5YR_NUM" hidden="1">"c1659"</definedName>
    <definedName name="IQ_EST_EPS_GROWTH_5YR_STDDEV" hidden="1">"c1660"</definedName>
    <definedName name="IQ_EST_EPS_GROWTH_Q_1YR" hidden="1">"c1641"</definedName>
    <definedName name="IQ_EST_EPS_GW_DIFF" hidden="1">"c1891"</definedName>
    <definedName name="IQ_EST_EPS_GW_SURPRISE_PERCENT" hidden="1">"c1892"</definedName>
    <definedName name="IQ_EST_EPS_REPORT_DIFF" hidden="1">"c1893"</definedName>
    <definedName name="IQ_EST_EPS_REPORT_SURPRISE_PERCENT" hidden="1">"c1894"</definedName>
    <definedName name="IQ_EST_EPS_SEQ_GROWTH_Q" hidden="1">"c1764"</definedName>
    <definedName name="IQ_EST_EPS_SURPRISE_PERCENT" hidden="1">"c1635"</definedName>
    <definedName name="IQ_EST_FFO_DIFF" hidden="1">"c1869"</definedName>
    <definedName name="IQ_EST_FFO_GROWTH_1YR" hidden="1">"c1770"</definedName>
    <definedName name="IQ_EST_FFO_GROWTH_2YR" hidden="1">"c1771"</definedName>
    <definedName name="IQ_EST_FFO_GROWTH_Q_1YR" hidden="1">"c1772"</definedName>
    <definedName name="IQ_EST_FFO_SEQ_GROWTH_Q" hidden="1">"c1773"</definedName>
    <definedName name="IQ_EST_FFO_SURPRISE_PERCENT" hidden="1">"c1870"</definedName>
    <definedName name="IQ_EST_NAV_DIFF" hidden="1">"c1895"</definedName>
    <definedName name="IQ_EST_NAV_SURPRISE_PERCENT" hidden="1">"c1896"</definedName>
    <definedName name="IQ_EST_NI_DIFF" hidden="1">"c1885"</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UM_BUY" hidden="1">"c1759"</definedName>
    <definedName name="IQ_EST_NUM_HOLD" hidden="1">"c1761"</definedName>
    <definedName name="IQ_EST_NUM_NO_OPINION" hidden="1">"c1758"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SURPRISE_PERCENT" hidden="1">"c1878"</definedName>
    <definedName name="IQ_EST_PRE_TAX_DIFF" hidden="1">"c1879"</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REV_DIFF" hidden="1">"c1865"</definedName>
    <definedName name="IQ_EST_REV_GROWTH_1YR" hidden="1">"c1638"</definedName>
    <definedName name="IQ_EST_REV_GROWTH_2YR" hidden="1">"c1639"</definedName>
    <definedName name="IQ_EST_REV_GROWTH_Q_1YR" hidden="1">"c1640"</definedName>
    <definedName name="IQ_EST_REV_SEQ_GROWTH_Q" hidden="1">"c1765"</definedName>
    <definedName name="IQ_EST_REV_SURPRISE_PERCENT" hidden="1">"c1866"</definedName>
    <definedName name="IQ_EV_OVER_EMPLOYEE" hidden="1">"c1225"</definedName>
    <definedName name="IQ_EV_OVER_LTM_EBIT" hidden="1">"c1221"</definedName>
    <definedName name="IQ_EV_OVER_LTM_EBITDA" hidden="1">"c1223"</definedName>
    <definedName name="IQ_EV_OVER_LTM_REVENUE" hidden="1">"c1227"</definedName>
    <definedName name="IQ_EVAL_DATE" hidden="1">"c2180"</definedName>
    <definedName name="IQ_EXCHANGE" hidden="1">"c405"</definedName>
    <definedName name="IQ_EXERCISE_PRICE" hidden="1">"c406"</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"c413"</definedName>
    <definedName name="IQ_FDIC" hidden="1">"c417"</definedName>
    <definedName name="IQ_FEDFUNDS_SOLD" hidden="1">"c2256"</definedName>
    <definedName name="IQ_FFO" hidden="1">"c1574"</definedName>
    <definedName name="IQ_FFO_EST" hidden="1">"c418"</definedName>
    <definedName name="IQ_FFO_HIGH_EST" hidden="1">"c419"</definedName>
    <definedName name="IQ_FFO_LOW_EST" hidden="1">"c420"</definedName>
    <definedName name="IQ_FFO_MEDIAN_EST" hidden="1">"c1665"</definedName>
    <definedName name="IQ_FFO_NUM_EST" hidden="1">"c421"</definedName>
    <definedName name="IQ_FFO_STDDEV_EST" hidden="1">"c422"</definedName>
    <definedName name="IQ_FH" hidden="1">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"c893"</definedName>
    <definedName name="IQ_FINANCING_CASH_SUPPL" hidden="1">"c899"</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"c451"</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"c452"</definedName>
    <definedName name="IQ_GOODWILL_NET" hidden="1">"c530"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"c192"</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"c511"</definedName>
    <definedName name="IQ_GROSS_SPRD" hidden="1">"c2155"</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"c789"</definedName>
    <definedName name="IQ_INC_AVAIL_INCL" hidden="1">"c791"</definedName>
    <definedName name="IQ_INC_BEFORE_TAX" hidden="1">"c386"</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"c907"</definedName>
    <definedName name="IQ_INTEREST_CASH_DEPOSITS" hidden="1">"c2255"</definedName>
    <definedName name="IQ_INTEREST_EXP" hidden="1">"c618"</definedName>
    <definedName name="IQ_INTEREST_EXP_NET" hidden="1">"c1450"</definedName>
    <definedName name="IQ_INTEREST_EXP_NON" hidden="1">"c618"</definedName>
    <definedName name="IQ_INTEREST_EXP_SUPPL" hidden="1">"c1460"</definedName>
    <definedName name="IQ_INTEREST_INC" hidden="1">"c769"</definedName>
    <definedName name="IQ_INTEREST_INC_NON" hidden="1">"c619"</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"c751"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"c656"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"c674"</definedName>
    <definedName name="IQ_LONG_TERM_DEBT_OVER_TOTAL_CAP" hidden="1">"c677"</definedName>
    <definedName name="IQ_LONG_TERM_GROWTH" hidden="1">"c671"</definedName>
    <definedName name="IQ_LONG_TERM_INV" hidden="1">"c697"</definedName>
    <definedName name="IQ_LOSS_LOSS_EXP" hidden="1">"c672"</definedName>
    <definedName name="IQ_LOSS_TO_NET_EARNED" hidden="1">"c2751"</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"c1304"</definedName>
    <definedName name="IQ_LTMMONTH" hidden="1">120000</definedName>
    <definedName name="IQ_MACHINERY" hidden="1">"c711"</definedName>
    <definedName name="IQ_MAINT_CAPEX" hidden="1">"c2947"</definedName>
    <definedName name="IQ_MAINT_REPAIR" hidden="1">"c2087"</definedName>
    <definedName name="IQ_MAKE_WHOLE_END_DATE" hidden="1">"c2493"</definedName>
    <definedName name="IQ_MAKE_WHOLE_SPREAD" hidden="1">"c2494"</definedName>
    <definedName name="IQ_MAKE_WHOLE_START_DATE" hidden="1">"c2492"</definedName>
    <definedName name="IQ_MARKET_CAP_LFCF" hidden="1">"c2209"</definedName>
    <definedName name="IQ_MARKETCAP" hidden="1">"c712"</definedName>
    <definedName name="IQ_MARKETING" hidden="1">"c2239"</definedName>
    <definedName name="IQ_MATURITY_DATE" hidden="1">"c2146"</definedName>
    <definedName name="IQ_MC_RATIO" hidden="1">"c2783"</definedName>
    <definedName name="IQ_MC_STATUTORY_SURPLUS" hidden="1">"c2772"</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MTD" hidden="1">800000</definedName>
    <definedName name="IQ_NAMES_REVISION_DATE_" hidden="1">40717.9163888889</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STDDEV_EST" hidden="1">"c1756"</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"c781"</definedName>
    <definedName name="IQ_NET_INC_BEFORE" hidden="1">"c344"</definedName>
    <definedName name="IQ_NET_INC_CF" hidden="1">"c793"</definedName>
    <definedName name="IQ_NET_INC_MARGIN" hidden="1">"c794"</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"c764"</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EST" hidden="1">"c1716"</definedName>
    <definedName name="IQ_NI_GW_EST" hidden="1">"c1723"</definedName>
    <definedName name="IQ_NI_GW_HIGH_EST" hidden="1">"c1725"</definedName>
    <definedName name="IQ_NI_GW_LOW_EST" hidden="1">"c1726"</definedName>
    <definedName name="IQ_NI_GW_MEDIAN_EST" hidden="1">"c1724"</definedName>
    <definedName name="IQ_NI_GW_NUM_EST" hidden="1">"c1727"</definedName>
    <definedName name="IQ_NI_GW_STDDEV_EST" hidden="1">"c1728"</definedName>
    <definedName name="IQ_NI_HIGH_EST" hidden="1">"c1718"</definedName>
    <definedName name="IQ_NI_LOW_EST" hidden="1">"c1719"</definedName>
    <definedName name="IQ_NI_MARGIN" hidden="1">"c794"</definedName>
    <definedName name="IQ_NI_MEDIAN_EST" hidden="1">"c1717"</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NUM_EST" hidden="1">"c1720"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FAS" hidden="1">"c795"</definedName>
    <definedName name="IQ_NI_STDDEV_EST" hidden="1">"c1721"</definedName>
    <definedName name="IQ_NON_ACCRUAL_LOANS" hidden="1">"c796"</definedName>
    <definedName name="IQ_NON_CASH" hidden="1">"c797"</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"c801"</definedName>
    <definedName name="IQ_NON_INTEREST_INC" hidden="1">"c802"</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"c1176"</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TOTAL_OIL_PRODUCT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BR" hidden="1">"c850"</definedName>
    <definedName name="IQ_OPER_INC_EST" hidden="1">"c1688"</definedName>
    <definedName name="IQ_OPER_INC_FIN" hidden="1">"c851"</definedName>
    <definedName name="IQ_OPER_INC_HIGH_EST" hidden="1">"c1690"</definedName>
    <definedName name="IQ_OPER_INC_INS" hidden="1">"c852"</definedName>
    <definedName name="IQ_OPER_INC_LOW_EST" hidden="1">"c1691"</definedName>
    <definedName name="IQ_OPER_INC_MARGIN" hidden="1">"c362"</definedName>
    <definedName name="IQ_OPER_INC_MEDIAN_EST" hidden="1">"c1689"</definedName>
    <definedName name="IQ_OPER_INC_NUM_EST" hidden="1">"c1692"</definedName>
    <definedName name="IQ_OPER_INC_REIT" hidden="1">"c853"</definedName>
    <definedName name="IQ_OPER_INC_STDDEV_EST" hidden="1">"c1693"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"c868"</definedName>
    <definedName name="IQ_OTHER_CURRENT_LIAB" hidden="1">"c877"</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"c916"</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"c946"</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"c959"</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"c1010"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"c1022"</definedName>
    <definedName name="IQ_OUTSTANDING_FILING_DATE" hidden="1">"c1023"</definedName>
    <definedName name="IQ_OWNERSHIP" hidden="1">"c2160"</definedName>
    <definedName name="IQ_PART_TIME" hidden="1">"c1024"</definedName>
    <definedName name="IQ_PAY_ACCRUED" hidden="1">"c8"</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G_FWD" hidden="1">"c1863"</definedName>
    <definedName name="IQ_PENSION" hidden="1">"c1031"</definedName>
    <definedName name="IQ_PERCENT_CHANGE_EST_5YR_GROWTH_RATE_12MONTHS" hidden="1">"c1852"</definedName>
    <definedName name="IQ_PERCENT_CHANGE_EST_5YR_GROWTH_RATE_18MONTHS" hidden="1">"c1853"</definedName>
    <definedName name="IQ_PERCENT_CHANGE_EST_5YR_GROWTH_RATE_3MONTHS" hidden="1">"c1849"</definedName>
    <definedName name="IQ_PERCENT_CHANGE_EST_5YR_GROWTH_RATE_6MONTHS" hidden="1">"c1850"</definedName>
    <definedName name="IQ_PERCENT_CHANGE_EST_5YR_GROWTH_RATE_9MONTHS" hidden="1">"c1851"</definedName>
    <definedName name="IQ_PERCENT_CHANGE_EST_5YR_GROWTH_RATE_DAY" hidden="1">"c1846"</definedName>
    <definedName name="IQ_PERCENT_CHANGE_EST_5YR_GROWTH_RATE_MONTH" hidden="1">"c1848"</definedName>
    <definedName name="IQ_PERCENT_CHANGE_EST_5YR_GROWTH_RATE_WEEK" hidden="1">"c1847"</definedName>
    <definedName name="IQ_PERCENT_CHANGE_EST_CFPS_12MONTHS" hidden="1">"c1812"</definedName>
    <definedName name="IQ_PERCENT_CHANGE_EST_CFPS_18MONTHS" hidden="1">"c1813"</definedName>
    <definedName name="IQ_PERCENT_CHANGE_EST_CFPS_3MONTHS" hidden="1">"c1809"</definedName>
    <definedName name="IQ_PERCENT_CHANGE_EST_CFPS_6MONTHS" hidden="1">"c1810"</definedName>
    <definedName name="IQ_PERCENT_CHANGE_EST_CFPS_9MONTHS" hidden="1">"c1811"</definedName>
    <definedName name="IQ_PERCENT_CHANGE_EST_CFPS_DAY" hidden="1">"c1806"</definedName>
    <definedName name="IQ_PERCENT_CHANGE_EST_CFPS_MONTH" hidden="1">"c1808"</definedName>
    <definedName name="IQ_PERCENT_CHANGE_EST_CFPS_WEEK" hidden="1">"c1807"</definedName>
    <definedName name="IQ_PERCENT_CHANGE_EST_DPS_12MONTHS" hidden="1">"c1820"</definedName>
    <definedName name="IQ_PERCENT_CHANGE_EST_DPS_18MONTHS" hidden="1">"c1821"</definedName>
    <definedName name="IQ_PERCENT_CHANGE_EST_DPS_3MONTHS" hidden="1">"c1817"</definedName>
    <definedName name="IQ_PERCENT_CHANGE_EST_DPS_6MONTHS" hidden="1">"c1818"</definedName>
    <definedName name="IQ_PERCENT_CHANGE_EST_DPS_9MONTHS" hidden="1">"c1819"</definedName>
    <definedName name="IQ_PERCENT_CHANGE_EST_DPS_DAY" hidden="1">"c1814"</definedName>
    <definedName name="IQ_PERCENT_CHANGE_EST_DPS_MONTH" hidden="1">"c1816"</definedName>
    <definedName name="IQ_PERCENT_CHANGE_EST_DPS_WEEK" hidden="1">"c1815"</definedName>
    <definedName name="IQ_PERCENT_CHANGE_EST_EBITDA_12MONTHS" hidden="1">"c1804"</definedName>
    <definedName name="IQ_PERCENT_CHANGE_EST_EBITDA_18MONTHS" hidden="1">"c1805"</definedName>
    <definedName name="IQ_PERCENT_CHANGE_EST_EBITDA_3MONTHS" hidden="1">"c1801"</definedName>
    <definedName name="IQ_PERCENT_CHANGE_EST_EBITDA_6MONTHS" hidden="1">"c1802"</definedName>
    <definedName name="IQ_PERCENT_CHANGE_EST_EBITDA_9MONTHS" hidden="1">"c1803"</definedName>
    <definedName name="IQ_PERCENT_CHANGE_EST_EBITDA_DAY" hidden="1">"c1798"</definedName>
    <definedName name="IQ_PERCENT_CHANGE_EST_EBITDA_MONTH" hidden="1">"c1800"</definedName>
    <definedName name="IQ_PERCENT_CHANGE_EST_EBITDA_WEEK" hidden="1">"c1799"</definedName>
    <definedName name="IQ_PERCENT_CHANGE_EST_EPS_12MONTHS" hidden="1">"c1788"</definedName>
    <definedName name="IQ_PERCENT_CHANGE_EST_EPS_18MONTHS" hidden="1">"c1789"</definedName>
    <definedName name="IQ_PERCENT_CHANGE_EST_EPS_3MONTHS" hidden="1">"c1785"</definedName>
    <definedName name="IQ_PERCENT_CHANGE_EST_EPS_6MONTHS" hidden="1">"c1786"</definedName>
    <definedName name="IQ_PERCENT_CHANGE_EST_EPS_9MONTHS" hidden="1">"c1787"</definedName>
    <definedName name="IQ_PERCENT_CHANGE_EST_EPS_DAY" hidden="1">"c1782"</definedName>
    <definedName name="IQ_PERCENT_CHANGE_EST_EPS_MONTH" hidden="1">"c1784"</definedName>
    <definedName name="IQ_PERCENT_CHANGE_EST_EPS_WEEK" hidden="1">"c1783"</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WEEK" hidden="1">"c1823"</definedName>
    <definedName name="IQ_PERCENT_CHANGE_EST_PRICE_TARGET_12MONTHS" hidden="1">"c1844"</definedName>
    <definedName name="IQ_PERCENT_CHANGE_EST_PRICE_TARGET_18MONTHS" hidden="1">"c1845"</definedName>
    <definedName name="IQ_PERCENT_CHANGE_EST_PRICE_TARGET_3MONTHS" hidden="1">"c1841"</definedName>
    <definedName name="IQ_PERCENT_CHANGE_EST_PRICE_TARGET_6MONTHS" hidden="1">"c1842"</definedName>
    <definedName name="IQ_PERCENT_CHANGE_EST_PRICE_TARGET_9MONTHS" hidden="1">"c1843"</definedName>
    <definedName name="IQ_PERCENT_CHANGE_EST_PRICE_TARGET_DAY" hidden="1">"c1838"</definedName>
    <definedName name="IQ_PERCENT_CHANGE_EST_PRICE_TARGET_MONTH" hidden="1">"c1840"</definedName>
    <definedName name="IQ_PERCENT_CHANGE_EST_PRICE_TARGET_WEEK" hidden="1">"c1839"</definedName>
    <definedName name="IQ_PERCENT_CHANGE_EST_RECO_12MONTHS" hidden="1">"c1836"</definedName>
    <definedName name="IQ_PERCENT_CHANGE_EST_RECO_18MONTHS" hidden="1">"c1837"</definedName>
    <definedName name="IQ_PERCENT_CHANGE_EST_RECO_3MONTHS" hidden="1">"c1833"</definedName>
    <definedName name="IQ_PERCENT_CHANGE_EST_RECO_6MONTHS" hidden="1">"c1834"</definedName>
    <definedName name="IQ_PERCENT_CHANGE_EST_RECO_9MONTHS" hidden="1">"c1835"</definedName>
    <definedName name="IQ_PERCENT_CHANGE_EST_RECO_DAY" hidden="1">"c1830"</definedName>
    <definedName name="IQ_PERCENT_CHANGE_EST_RECO_MONTH" hidden="1">"c1832"</definedName>
    <definedName name="IQ_PERCENT_CHANGE_EST_RECO_WEEK" hidden="1">"c1831"</definedName>
    <definedName name="IQ_PERCENT_CHANGE_EST_REV_12MONTHS" hidden="1">"c1796"</definedName>
    <definedName name="IQ_PERCENT_CHANGE_EST_REV_18MONTHS" hidden="1">"c1797"</definedName>
    <definedName name="IQ_PERCENT_CHANGE_EST_REV_3MONTHS" hidden="1">"c1793"</definedName>
    <definedName name="IQ_PERCENT_CHANGE_EST_REV_6MONTHS" hidden="1">"c1794"</definedName>
    <definedName name="IQ_PERCENT_CHANGE_EST_REV_9MONTHS" hidden="1">"c1795"</definedName>
    <definedName name="IQ_PERCENT_CHANGE_EST_REV_DAY" hidden="1">"c1790"</definedName>
    <definedName name="IQ_PERCENT_CHANGE_EST_REV_MONTH" hidden="1">"c1792"</definedName>
    <definedName name="IQ_PERCENT_CHANGE_EST_REV_WEEK" hidden="1">"c1791"</definedName>
    <definedName name="IQ_PERIODDATE" hidden="1">"c1034"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OTENTIAL_UPSIDE" hidden="1">"c1855"</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"c1052"</definedName>
    <definedName name="IQ_PREF_TOT" hidden="1">"c1044"</definedName>
    <definedName name="IQ_PREMIUMS_ANNUITY_REV" hidden="1">"c1067"</definedName>
    <definedName name="IQ_PREPAID_CHURN" hidden="1">"c2120"</definedName>
    <definedName name="IQ_PREPAID_EXP" hidden="1">"c1068"</definedName>
    <definedName name="IQ_PREPAID_EXPEN" hidden="1">"c1068"</definedName>
    <definedName name="IQ_PREPAID_SUBS" hidden="1">"c2117"</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_EST" hidden="1">"c1695"</definedName>
    <definedName name="IQ_PRETAX_INC_HIGH_EST" hidden="1">"c1697"</definedName>
    <definedName name="IQ_PRETAX_INC_LOW_EST" hidden="1">"c1698"</definedName>
    <definedName name="IQ_PRETAX_INC_MEDIAN_EST" hidden="1">"c1696"</definedName>
    <definedName name="IQ_PRETAX_INC_NUM_EST" hidden="1">"c1699"</definedName>
    <definedName name="IQ_PRETAX_INC_STDDEV_EST" hidden="1">"c1700"</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ICE_OVER_BVPS" hidden="1">"c1026"</definedName>
    <definedName name="IQ_PRICE_OVER_LTM_EPS" hidden="1">"c1029"</definedName>
    <definedName name="IQ_PRICE_TARGET" hidden="1">"c82"</definedName>
    <definedName name="IQ_PRICEDATE" hidden="1">"c1069"</definedName>
    <definedName name="IQ_PRICING_DATE" hidden="1">"c1613"</definedName>
    <definedName name="IQ_PRIMARY_INDUSTRY" hidden="1">"c1070"</definedName>
    <definedName name="IQ_PRINCIPAL_AMT" hidden="1">"c2157"</definedName>
    <definedName name="IQ_PRO_FORMA_BASIC_EPS" hidden="1">"c1614"</definedName>
    <definedName name="IQ_PRO_FORMA_DILUT_EPS" hidden="1">"c1615"</definedName>
    <definedName name="IQ_PRO_FORMA_NET_INC" hidden="1">"c795"</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"c518"</definedName>
    <definedName name="IQ_PROPERTY_MGMT_FEE" hidden="1">"c1074"</definedName>
    <definedName name="IQ_PROPERTY_NET" hidden="1">"c829"</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PUT_DATE_SCHEDULE" hidden="1">"c2483"</definedName>
    <definedName name="IQ_PUT_NOTIFICATION" hidden="1">"c2485"</definedName>
    <definedName name="IQ_PUT_PRICE_SCHEDULE" hidden="1">"c2484"</definedName>
    <definedName name="IQ_QTD" hidden="1">750000</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"c1059"</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"c1090"</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"c2903"</definedName>
    <definedName name="IQ_RETAIL_ACQUIRED_OWNED_STORES" hidden="1">"c2895"</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"c1092"</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"c1117"</definedName>
    <definedName name="IQ_REV" hidden="1">"c1122"</definedName>
    <definedName name="IQ_REV_BEFORE_LL" hidden="1">"c1123"</definedName>
    <definedName name="IQ_REV_STDDEV_EST" hidden="1">"c1124"</definedName>
    <definedName name="IQ_REV_UTI" hidden="1">"c1125"</definedName>
    <definedName name="IQ_REVENUE" hidden="1">"c1122"</definedName>
    <definedName name="IQ_REVENUE_EST" hidden="1">"c1126"</definedName>
    <definedName name="IQ_REVENUE_HIGH_EST" hidden="1">"c1127"</definedName>
    <definedName name="IQ_REVENUE_LOW_EST" hidden="1">"c1128"</definedName>
    <definedName name="IQ_REVENUE_MEDIAN_EST" hidden="1">"c1662"</definedName>
    <definedName name="IQ_REVENUE_NUM_EST" hidden="1">"c1129"</definedName>
    <definedName name="IQ_REVISION_DATE_" hidden="1">39199.3865277778</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"c83"</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"c1197"</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"c1266"</definedName>
    <definedName name="IQ_TOTAL_CASH_FINAN" hidden="1">"c119"</definedName>
    <definedName name="IQ_TOTAL_CASH_INVEST" hidden="1">"c121"</definedName>
    <definedName name="IQ_TOTAL_CASH_OPER" hidden="1">"c122"</definedName>
    <definedName name="IQ_TOTAL_CHURN" hidden="1">"c2122"</definedName>
    <definedName name="IQ_TOTAL_CL" hidden="1">"c1245"</definedName>
    <definedName name="IQ_TOTAL_COMMON" hidden="1">"c1022"</definedName>
    <definedName name="IQ_TOTAL_COMMON_EQUITY" hidden="1">"c1246"</definedName>
    <definedName name="IQ_TOTAL_CURRENT_ASSETS" hidden="1">"c1243"</definedName>
    <definedName name="IQ_TOTAL_CURRENT_LIAB" hidden="1">"c1245"</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"c1249"</definedName>
    <definedName name="IQ_TOTAL_DEBT_OVER_TOTAL_BV" hidden="1">"c1250"</definedName>
    <definedName name="IQ_TOTAL_DEBT_OVER_TOTAL_CAP" hidden="1">"c1248"</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"c1522"</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"c591"</definedName>
    <definedName name="IQ_TOTAL_INVENTORY" hidden="1">"c622"</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"c1279"</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"c1294"</definedName>
    <definedName name="IQ_TOTAL_SPECIAL" hidden="1">"c1618"</definedName>
    <definedName name="IQ_TOTAL_ST_BORROW" hidden="1">"c1177"</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DA" hidden="1">"c2381"</definedName>
    <definedName name="IQ_TR_ACQ_FILING_CURRENCY" hidden="1">"c3033"</definedName>
    <definedName name="IQ_TR_ACQ_MCAP_1DAY" hidden="1">"c2345"</definedName>
    <definedName name="IQ_TR_ACQ_MIN_INT" hidden="1">"c2374"</definedName>
    <definedName name="IQ_TR_ACQ_NET_DEBT" hidden="1">"c2373"</definedName>
    <definedName name="IQ_TR_ACQ_NI" hidden="1">"c2378"</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DA" hidden="1">"c2334"</definedName>
    <definedName name="IQ_TR_TARGET_FILING_CURRENCY" hidden="1">"c3034"</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"c40"</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"c1311"</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IP_INV" hidden="1">"c1335"</definedName>
    <definedName name="IQ_WORKMEN_WRITTEN" hidden="1">"c1336"</definedName>
    <definedName name="IQ_XDIV_DATE" hidden="1">"c2104"</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j" hidden="1">#REF!</definedName>
    <definedName name="jg" localSheetId="2" hidden="1">Main.SAPF4Help()</definedName>
    <definedName name="jg" localSheetId="3" hidden="1">Main.SAPF4Help()</definedName>
    <definedName name="jg" localSheetId="4" hidden="1">Main.SAPF4Help()</definedName>
    <definedName name="jg" localSheetId="0" hidden="1">Main.SAPF4Help()</definedName>
    <definedName name="jg" hidden="1">Main.SAPF4Help()</definedName>
    <definedName name="jg_V1" localSheetId="3" hidden="1">Main.SAPF4Help()</definedName>
    <definedName name="jg_V1" localSheetId="4" hidden="1">Main.SAPF4Help()</definedName>
    <definedName name="jg_V1" localSheetId="0" hidden="1">Main.SAPF4Help()</definedName>
    <definedName name="jg_V1" hidden="1">Main.SAPF4Help()</definedName>
    <definedName name="jhh" hidden="1">{"EVA",#N/A,FALSE,"EVA";"WACC",#N/A,FALSE,"WACC"}</definedName>
    <definedName name="jjj" hidden="1">{"Budgetvergleich",#N/A,TRUE,"KSTGES.XLS";"Budgetvergleich",#N/A,TRUE,"KST10.XLS";"Budgetvergleich",#N/A,TRUE,"KST11.XLS";"Budgetvergleich",#N/A,TRUE,"KST12.XLS";"Budgetvergleich",#N/A,TRUE,"KST15.XLS";"Budgetvergleich",#N/A,TRUE,"KST20.XLS";"Budgetvergleich",#N/A,TRUE,"KST25.XLS";"Budgetvergleich",#N/A,TRUE,"KST30.XLS";"Budgetvergleich",#N/A,TRUE,"KST40.XLS";"Budgetvergleich",#N/A,TRUE,"KST41.XLS";"Budgetvergleich",#N/A,TRUE,"KST45.XLS";"Budgetvergleich",#N/A,TRUE,"KST50.XLS";"Budgetvergleich",#N/A,TRUE,"KST60.XLS";"Budgetvergleich",#N/A,TRUE,"KST61.XLS";"Budgetvergleich",#N/A,TRUE,"KST65.XLS";"Budgetvergleich",#N/A,TRUE,"KST70.XLS";"Budgetvergleich",#N/A,TRUE,"KST80.XLS";"Budgetvergleich",#N/A,TRUE,"KST90.XLS"}</definedName>
    <definedName name="jjjjjj" hidden="1">{"Budget9596",#N/A,TRUE,"KSTGES.XLS";"Budget9596",#N/A,TRUE,"KST10.XLS";"Budget9596",#N/A,TRUE,"KST11.XLS";"Budget9596",#N/A,TRUE,"KST12.XLS";"Budget9596",#N/A,TRUE,"KST15.XLS";"Budget9596",#N/A,TRUE,"KST20.XLS";"Budget9596",#N/A,TRUE,"KST25.XLS";"Budget9596",#N/A,TRUE,"KST30.XLS";"Budget9596",#N/A,TRUE,"KST40.XLS";"Budget9596",#N/A,TRUE,"KST41.XLS";"Budget9596",#N/A,TRUE,"KST45.XLS";"Budget9596",#N/A,TRUE,"KST50.XLS";"Budget9596",#N/A,TRUE,"KST60.XLS";"Budget9596",#N/A,TRUE,"KST61.XLS";"Budget9596",#N/A,TRUE,"KST65.XLS";"Budget9596",#N/A,TRUE,"KST70.XLS";"Budget9596",#N/A,TRUE,"KST80.XLS";"Budget9596",#N/A,TRUE,"KST90.XLS"}</definedName>
    <definedName name="jkj" hidden="1">{"mult96",#N/A,FALSE,"PETCOMP";"est96",#N/A,FALSE,"PETCOMP";"mult95",#N/A,FALSE,"PETCOMP";"est95",#N/A,FALSE,"PETCOMP";"multltm",#N/A,FALSE,"PETCOMP";"resultltm",#N/A,FALSE,"PETCOMP"}</definedName>
    <definedName name="jkjkjk" hidden="1">{"GuVGmbH",#N/A,FALSE,"ratios";"BilanzGmbH",#N/A,FALSE,"ratios";"BilanzKG",#N/A,FALSE,"ratios";"GuVKG",#N/A,FALSE,"ratios"}</definedName>
    <definedName name="js" hidden="1">{"DCF1",#N/A,FALSE,"SIERRA DCF";"MATRIX1",#N/A,FALSE,"SIERRA DCF"}</definedName>
    <definedName name="jsgjghk" hidden="1">{"qchm_dcf",#N/A,FALSE,"QCHMDCF2";"qchm_terminal",#N/A,FALSE,"QCHMDCF2"}</definedName>
    <definedName name="jsx" hidden="1">{"DCF","UPSIDE CASE",FALSE,"Sheet1";"DCF","BASE CASE",FALSE,"Sheet1";"DCF","DOWNSIDE CASE",FALSE,"Sheet1"}</definedName>
    <definedName name="k" hidden="1">#REF!</definedName>
    <definedName name="kjlj" hidden="1">{"EVA",#N/A,FALSE,"EVA";"WACC",#N/A,FALSE,"WACC"}</definedName>
    <definedName name="kjy" hidden="1">{"ProspettoImposte",#N/A,FALSE,"Prospetto imposte"}</definedName>
    <definedName name="kurz" hidden="1">#REF!</definedName>
    <definedName name="lea" hidden="1">{#N/A,#N/A,FALSE,"1";#N/A,#N/A,FALSE,"2";#N/A,#N/A,FALSE,"3";#N/A,#N/A,FALSE,"4";#N/A,#N/A,FALSE,"5";#N/A,#N/A,FALSE,"6";#N/A,#N/A,FALSE,"7";#N/A,#N/A,FALSE,"8";#N/A,#N/A,FALSE,"9";#N/A,#N/A,FALSE,"10";#N/A,#N/A,FALSE,"11";#N/A,#N/A,FALSE,"12";#N/A,#N/A,FALSE,"13";#N/A,#N/A,FALSE,"14";#N/A,#N/A,FALSE,"15";#N/A,#N/A,FALSE,"A1";#N/A,#N/A,FALSE,"A2";#N/A,#N/A,FALSE,"A3"}</definedName>
    <definedName name="lfhlhfws" hidden="1">{"'WEB azoc prov'!$B$85:$L$123"}</definedName>
    <definedName name="lhlhl" hidden="1">{"'WEB azoc prov'!$B$85:$L$123"}</definedName>
    <definedName name="lkjlklkjlkjlkj" hidden="1">{"page1",#N/A,TRUE,"CSC";"page2",#N/A,TRUE,"CSC"}</definedName>
    <definedName name="LL" hidden="1">{"'WEB azoc prov'!$B$85:$L$123"}</definedName>
    <definedName name="LOCAL_MYSQL_DATE_FORMAT" localSheetId="2"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3"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4"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ooo" hidden="1">{"'WEB azoc prov'!$B$85:$L$123"}</definedName>
    <definedName name="ma"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MerrillPrintIt" localSheetId="2" hidden="1">#REF!</definedName>
    <definedName name="MerrillPrintIt" localSheetId="3" hidden="1">#REF!</definedName>
    <definedName name="MerrillPrintIt" localSheetId="4" hidden="1">#REF!</definedName>
    <definedName name="MerrillPrintIt" hidden="1">#REF!</definedName>
    <definedName name="mgpw" hidden="1">"PersonalNeu"</definedName>
    <definedName name="mm" hidden="1">{"adj95mult",#N/A,FALSE,"COMPCO";"adj95est",#N/A,FALSE,"COMPCO"}</definedName>
    <definedName name="mmm" hidden="1">{#N/A,#N/A,FALSE,"1";#N/A,#N/A,FALSE,"2";#N/A,#N/A,FALSE,"3";#N/A,#N/A,FALSE,"4";#N/A,#N/A,FALSE,"5";#N/A,#N/A,FALSE,"6";#N/A,#N/A,FALSE,"7";#N/A,#N/A,FALSE,"8";#N/A,#N/A,FALSE,"9";#N/A,#N/A,FALSE,"10";#N/A,#N/A,FALSE,"11";#N/A,#N/A,FALSE,"12";#N/A,#N/A,FALSE,"13";#N/A,#N/A,FALSE,"14";#N/A,#N/A,FALSE,"15";#N/A,#N/A,FALSE,"A1";#N/A,#N/A,FALSE,"A2";#N/A,#N/A,FALSE,"A3"}</definedName>
    <definedName name="MP_D">#REF!</definedName>
    <definedName name="MP_M">#REF!</definedName>
    <definedName name="MP_Q">#REF!</definedName>
    <definedName name="MP_WD">#REF!</definedName>
    <definedName name="n" hidden="1">{#N/A,#N/A,FALSE,"1";#N/A,#N/A,FALSE,"2";#N/A,#N/A,FALSE,"3";#N/A,#N/A,FALSE,"4";#N/A,#N/A,FALSE,"5";#N/A,#N/A,FALSE,"6";#N/A,#N/A,FALSE,"7";#N/A,#N/A,FALSE,"8";#N/A,#N/A,FALSE,"9";#N/A,#N/A,FALSE,"10";#N/A,#N/A,FALSE,"11";#N/A,#N/A,FALSE,"12";#N/A,#N/A,FALSE,"13";#N/A,#N/A,FALSE,"14";#N/A,#N/A,FALSE,"15";#N/A,#N/A,FALSE,"A1";#N/A,#N/A,FALSE,"A2";#N/A,#N/A,FALSE,"A3"}</definedName>
    <definedName name="neu" hidden="1">#REF!</definedName>
    <definedName name="new" hidden="1">{"Graphic",#N/A,TRUE,"Graphic"}</definedName>
    <definedName name="newbel" hidden="1">{"IS",#N/A,FALSE,"IS";"RPTIS",#N/A,FALSE,"RPTIS";"STATS",#N/A,FALSE,"STATS";"CELL",#N/A,FALSE,"CELL";"BS",#N/A,FALSE,"BS"}</definedName>
    <definedName name="NewRange" localSheetId="2" hidden="1">#REF!</definedName>
    <definedName name="NewRange" localSheetId="3" hidden="1">#REF!</definedName>
    <definedName name="NewRange" localSheetId="4" hidden="1">#REF!</definedName>
    <definedName name="NewRange" hidden="1">#REF!</definedName>
    <definedName name="nnn" hidden="1">{"Graphic",#N/A,TRUE,"Graphic"}</definedName>
    <definedName name="nono" hidden="1">{"'WEB azoc prov'!$B$85:$L$123"}</definedName>
    <definedName name="note" hidden="1">{#N/A,#N/A,FALSE,"1";#N/A,#N/A,FALSE,"2";#N/A,#N/A,FALSE,"3";#N/A,#N/A,FALSE,"4";#N/A,#N/A,FALSE,"5";#N/A,#N/A,FALSE,"6";#N/A,#N/A,FALSE,"7";#N/A,#N/A,FALSE,"8";#N/A,#N/A,FALSE,"9";#N/A,#N/A,FALSE,"10";#N/A,#N/A,FALSE,"11";#N/A,#N/A,FALSE,"12";#N/A,#N/A,FALSE,"13";#N/A,#N/A,FALSE,"14";#N/A,#N/A,FALSE,"15";#N/A,#N/A,FALSE,"A1";#N/A,#N/A,FALSE,"A2";#N/A,#N/A,FALSE,"A3"}</definedName>
    <definedName name="noteDEP" hidden="1">{#N/A,#N/A,FALSE,"1";#N/A,#N/A,FALSE,"2";#N/A,#N/A,FALSE,"3";#N/A,#N/A,FALSE,"4";#N/A,#N/A,FALSE,"5";#N/A,#N/A,FALSE,"6";#N/A,#N/A,FALSE,"7";#N/A,#N/A,FALSE,"8";#N/A,#N/A,FALSE,"9";#N/A,#N/A,FALSE,"10";#N/A,#N/A,FALSE,"11";#N/A,#N/A,FALSE,"12";#N/A,#N/A,FALSE,"13";#N/A,#N/A,FALSE,"14";#N/A,#N/A,FALSE,"15";#N/A,#N/A,FALSE,"A1";#N/A,#N/A,FALSE,"A2";#N/A,#N/A,FALSE,"A3"}</definedName>
    <definedName name="oi" hidden="1">{"DCF1",#N/A,FALSE,"SIERRA DCF";"MATRIX1",#N/A,FALSE,"SIERRA DCF"}</definedName>
    <definedName name="old" hidden="1">{"QIncStmt",#N/A,FALSE,"Quarter Inc St";"QGrthNMrgn",#N/A,FALSE,"Quarter Inc St";"SummIncStmt",#N/A,FALSE,"Income Statement";"BalanceSheet",#N/A,FALSE,"Balance Sheet";"SumCashFlow",#N/A,FALSE,"Sum Cash Flow";"DCFProjections",#N/A,FALSE,"DCF Projections";"CalcWorksheet",#N/A,FALSE,"Calc Wksht New";"DCFPresent Value",#N/A,FALSE,"DCF1";"FutureSharePrices",#N/A,FALSE,"Future Share Prices";"AVP",#N/A,FALSE,"AVP";"PV of Future Prices",#N/A,FALSE,"Fut Share Price - New EPS"}</definedName>
    <definedName name="one" hidden="1">{"adj95mult",#N/A,FALSE,"COMPCO";"adj95est",#N/A,FALSE,"COMPCO"}</definedName>
    <definedName name="OO" hidden="1">{"'WEB azoc prov'!$B$85:$L$123"}</definedName>
    <definedName name="ool" hidden="1">{"Page1",#N/A,FALSE,"CompCo";"Page2",#N/A,FALSE,"CompCo"}</definedName>
    <definedName name="ooo" hidden="1">{"Graphic",#N/A,TRUE,"Graphic"}</definedName>
    <definedName name="os56rt" hidden="1">{TRUE,TRUE,-2,-16.25,774,494.25,FALSE,TRUE,TRUE,TRUE,0,32,#N/A,1,#N/A,31.0666666666667,63.6451612903226,1,FALSE,FALSE,3,TRUE,1,FALSE,75,"Swvu.Page3.","ACwvu.Page3.",#N/A,FALSE,FALSE,0.236220472440945,0.275590551181102,0.236220472440945,0.275590551181102,2,"","",TRUE,TRUE,FALSE,FALSE,1,83,#N/A,#N/A,"=R4C48:R64C71",FALSE,"Rwvu.Page3.","Cwvu.Page3.",FALSE,FALSE,TRUE,1,#N/A,#N/A,FALSE,FALSE,TRUE,TRUE,TRUE}</definedName>
    <definedName name="page500003" hidden="1">{TRUE,TRUE,-2,-16.25,774,494.25,FALSE,TRUE,TRUE,TRUE,0,32,#N/A,1,#N/A,31.0666666666667,63.6451612903226,1,FALSE,FALSE,3,TRUE,1,FALSE,75,"Swvu.Page3.","ACwvu.Page3.",#N/A,FALSE,FALSE,0.236220472440945,0.275590551181102,0.236220472440945,0.275590551181102,2,"","",TRUE,TRUE,FALSE,FALSE,1,83,#N/A,#N/A,"=R4C48:R64C71",FALSE,"Rwvu.Page3.","Cwvu.Page3.",FALSE,FALSE,TRUE,1,#N/A,#N/A,FALSE,FALSE,TRUE,TRUE,TRUE}</definedName>
    <definedName name="pipp" hidden="1">{"costo totale",#N/A,FALSE,"Risorse e R&amp;D 5";"costi unitari",#N/A,FALSE,"Risorse e R&amp;D 5";"n° addetti",#N/A,FALSE,"Risorse e R&amp;D 5";#N/A,#N/A,FALSE,"Risorse e R&amp;D 5"}</definedName>
    <definedName name="pippo" hidden="1">{"'WEB azoc prov'!$B$85:$L$123"}</definedName>
    <definedName name="poujòpujpòhj" hidden="1">{"'WEB azoc prov'!$B$85:$L$123"}</definedName>
    <definedName name="PP" hidden="1">{"'WEB azoc prov'!$B$85:$L$123"}</definedName>
    <definedName name="ppp" hidden="1">{"DCF","UPSIDE CASE",FALSE,"Sheet1";"DCF","BASE CASE",FALSE,"Sheet1";"DCF","DOWNSIDE CASE",FALSE,"Sheet1"}</definedName>
    <definedName name="Print" hidden="1">{"vi1",#N/A,FALSE,"Financial Statements";"vi2",#N/A,FALSE,"Financial Statements";#N/A,#N/A,FALSE,"DCF"}</definedName>
    <definedName name="Print_CSC_Report_2" hidden="1">{"CSC_1",#N/A,FALSE,"CSC Outputs";"CSC_2",#N/A,FALSE,"CSC Outputs"}</definedName>
    <definedName name="Print_CSC_Report_3" hidden="1">{"CSC_1",#N/A,FALSE,"CSC Outputs";"CSC_2",#N/A,FALSE,"CSC Outputs"}</definedName>
    <definedName name="pwoefù" hidden="1">{#N/A,#N/A,TRUE,"Proposal";#N/A,#N/A,TRUE,"Assumptions";#N/A,#N/A,TRUE,"Net Income";#N/A,#N/A,TRUE,"Balsheet";#N/A,#N/A,TRUE,"Capex";#N/A,#N/A,TRUE,"Volumes";#N/A,#N/A,TRUE,"Revenues";#N/A,#N/A,TRUE,"Var.Costs";#N/A,#N/A,TRUE,"Personnel";#N/A,#N/A,TRUE,"Other costs";#N/A,#N/A,TRUE,"MKTG and G&amp;A"}</definedName>
    <definedName name="pyop" hidden="1">{"vi1",#N/A,FALSE,"Financial Statements";"vi2",#N/A,FALSE,"Financial Statements";#N/A,#N/A,FALSE,"DCF"}</definedName>
    <definedName name="q" hidden="1">{"'WEB azoc prov'!$B$85:$L$123"}</definedName>
    <definedName name="Q1.5" hidden="1">{"costo totale",#N/A,FALSE,"Risorse e R&amp;D 5";"costi unitari",#N/A,FALSE,"Risorse e R&amp;D 5";"n° addetti",#N/A,FALSE,"Risorse e R&amp;D 5";#N/A,#N/A,FALSE,"Risorse e R&amp;D 5"}</definedName>
    <definedName name="qddd" hidden="1">{"'WEB azoc prov'!$B$85:$L$123"}</definedName>
    <definedName name="QQ" hidden="1">{"'WEB azoc prov'!$B$85:$L$123"}</definedName>
    <definedName name="qqqqq2q" hidden="1">{"ProspettoImposte",#N/A,FALSE,"Prospetto imposte";"Scritture",#N/A,FALSE,"Scritture"}</definedName>
    <definedName name="qqqqqqqqqq" hidden="1">{"'WEB azoc prov'!$B$85:$L$123"}</definedName>
    <definedName name="QQQQQQQQQQQ" hidden="1">{#N/A,#N/A,FALSE,"1";#N/A,#N/A,FALSE,"2";#N/A,#N/A,FALSE,"3";#N/A,#N/A,FALSE,"4";#N/A,#N/A,FALSE,"5";#N/A,#N/A,FALSE,"6";#N/A,#N/A,FALSE,"7";#N/A,#N/A,FALSE,"8";#N/A,#N/A,FALSE,"9";#N/A,#N/A,FALSE,"10";#N/A,#N/A,FALSE,"11";#N/A,#N/A,FALSE,"12";#N/A,#N/A,FALSE,"13";#N/A,#N/A,FALSE,"14";#N/A,#N/A,FALSE,"15";#N/A,#N/A,FALSE,"A1";#N/A,#N/A,FALSE,"A2";#N/A,#N/A,FALSE,"A3"}</definedName>
    <definedName name="qwd" hidden="1">{"'WEB azoc prov'!$B$85:$L$123"}</definedName>
    <definedName name="qwer23r3r23r" hidden="1">{"GuVGmbH",#N/A,FALSE,"ratios";"BilanzGmbH",#N/A,FALSE,"ratios";"BilanzKG",#N/A,FALSE,"ratios";"GuVKG",#N/A,FALSE,"ratios"}</definedName>
    <definedName name="qwerqwerwerwereloollolol" hidden="1">{#N/A,#N/A,TRUE,"Proposal";#N/A,#N/A,TRUE,"Assumptions";#N/A,#N/A,TRUE,"Net Income";#N/A,#N/A,TRUE,"Balsheet";#N/A,#N/A,TRUE,"Capex";#N/A,#N/A,TRUE,"Volumes";#N/A,#N/A,TRUE,"Revenues";#N/A,#N/A,TRUE,"Var.Costs";#N/A,#N/A,TRUE,"Personnel";#N/A,#N/A,TRUE,"Other costs";#N/A,#N/A,TRUE,"MKTG and G&amp;A"}</definedName>
    <definedName name="qwqwqewd" hidden="1">{"Deckbl",#N/A,FALSE,"Deckblatt";"Eckzahlen",#N/A,FALSE,"Eckzahlen";"Bilanz",#N/A,FALSE,"Bilanz";"GuV",#N/A,FALSE,"GUV";"GuvScha_Wa",#N/A,FALSE,"GuvScha+Wa";"guvgi",#N/A,FALSE,"GuvGI";"guvdd",#N/A,FALSE,"GuvDD";#N/A,#N/A,FALSE,"Guv3D";"guvwaren",#N/A,FALSE,"GuvWaren";"guvbestückung",#N/A,FALSE,"GuvBestück";"guvprojek",#N/A,FALSE,"GuvProjek";"guvesr",#N/A,FALSE,"GuvESR";"investalt.",#N/A,FALSE,"Invest alt.";"aventw",#N/A,FALSE,"AV-Entw.";"personal",#N/A,FALSE,"Persaufw";"personal2",#N/A,FALSE,"Persaufw";"pmgerüst",#N/A,FALSE,"Preis-Mengen-Gerüst";"cflow1",#N/A,FALSE,"CashFlow";"cflow2",#N/A,FALSE,"CashFlow";"cflow3",#N/A,FALSE,"CashFlow";"FCF",#N/A,FALSE,"Unternehmensbewertung DCF";"WACC",#N/A,FALSE,"Unternehmensbewertung DCF";"Wert",#N/A,FALSE,"Unternehmensbewertung DCF"}</definedName>
    <definedName name="qwrq23r3r" hidden="1">{"Deckbl",#N/A,FALSE,"Deckblatt";"Eckzahlen",#N/A,FALSE,"Eckzahlen";"Bilanz",#N/A,FALSE,"Bilanz";"GuV",#N/A,FALSE,"GUV";"GuvScha_Wa",#N/A,FALSE,"GuvScha+Wa";"guvgi",#N/A,FALSE,"GuvGI";"guvdd",#N/A,FALSE,"GuvDD";#N/A,#N/A,FALSE,"Guv3D";"guvwaren",#N/A,FALSE,"GuvWaren";"guvbestückung",#N/A,FALSE,"GuvBestück";"guvprojek",#N/A,FALSE,"GuvProjek";"guvesr",#N/A,FALSE,"GuvESR";"investalt.",#N/A,FALSE,"Invest alt.";"aventw",#N/A,FALSE,"AV-Entw.";"personal",#N/A,FALSE,"Persaufw";"personal2",#N/A,FALSE,"Persaufw";"pmgerüst",#N/A,FALSE,"Preis-Mengen-Gerüst";"cflow1",#N/A,FALSE,"CashFlow";"cflow2",#N/A,FALSE,"CashFlow";"cflow3",#N/A,FALSE,"CashFlow";"FCF",#N/A,FALSE,"Unternehmensbewertung DCF";"WACC",#N/A,FALSE,"Unternehmensbewertung DCF";"Wert",#N/A,FALSE,"Unternehmensbewertung DCF"}</definedName>
    <definedName name="qz" hidden="1">{"ProspettoImposte",#N/A,FALSE,"Prospetto imposte"}</definedName>
    <definedName name="qzqqqqz" hidden="1">{"Scritture",#N/A,FALSE,"Scritture"}</definedName>
    <definedName name="RedefinePrintTableRange" localSheetId="2" hidden="1">#REF!</definedName>
    <definedName name="RedefinePrintTableRange" localSheetId="3" hidden="1">#REF!</definedName>
    <definedName name="RedefinePrintTableRange" localSheetId="4" hidden="1">#REF!</definedName>
    <definedName name="RedefinePrintTableRange" hidden="1">#REF!</definedName>
    <definedName name="rename_of_wrn.CSC" hidden="1">{"page1",#N/A,TRUE,"CSC";"page2",#N/A,TRUE,"CSC"}</definedName>
    <definedName name="Revenue6" hidden="1">{TRUE,TRUE,-1.25,-15.5,456.75,279.75,FALSE,FALSE,TRUE,TRUE,0,1,8,1,4,6,3,4,TRUE,TRUE,3,TRUE,1,TRUE,100,"Swvu.turnover.","ACwvu.turnover.",1,FALSE,FALSE,0.511811023622047,0.511811023622047,0.511811023622047,0.511811023622047,1,"","",FALSE,FALSE,FALSE,FALSE,1,#N/A,1,1,#DIV/0!,FALSE,"Rwvu.turnover.",#N/A,FALSE,FALSE}</definedName>
    <definedName name="riassuntivo" hidden="1">{#N/A,#N/A,FALSE,"1";#N/A,#N/A,FALSE,"2";#N/A,#N/A,FALSE,"3";#N/A,#N/A,FALSE,"4";#N/A,#N/A,FALSE,"5";#N/A,#N/A,FALSE,"6";#N/A,#N/A,FALSE,"7";#N/A,#N/A,FALSE,"8";#N/A,#N/A,FALSE,"9";#N/A,#N/A,FALSE,"10";#N/A,#N/A,FALSE,"11";#N/A,#N/A,FALSE,"12";#N/A,#N/A,FALSE,"13";#N/A,#N/A,FALSE,"14";#N/A,#N/A,FALSE,"15";#N/A,#N/A,FALSE,"A1";#N/A,#N/A,FALSE,"A2";#N/A,#N/A,FALSE,"A3"}</definedName>
    <definedName name="RICL_FIN" hidden="1">{"ProspettoImposte",#N/A,FALSE,"Prospetto imposte"}</definedName>
    <definedName name="RICL_FIN2" hidden="1">{"Scritture",#N/A,FALSE,"Scritture"}</definedName>
    <definedName name="RICL_FIN3" hidden="1">{"ProspettoImposte",#N/A,FALSE,"Prospetto imposte";"Scritture",#N/A,FALSE,"Scritture"}</definedName>
    <definedName name="riiu" hidden="1">{TRUE,TRUE,-2,-16.25,774,494.25,FALSE,TRUE,TRUE,TRUE,0,70,#N/A,1,#N/A,28.5666666666667,63.6451612903226,1,FALSE,FALSE,3,TRUE,1,FALSE,75,"Swvu.Page4.","ACwvu.Page4.",#N/A,FALSE,FALSE,0.236220472440945,0.275590551181102,0.236220472440945,0.275590551181102,2,"","",TRUE,TRUE,FALSE,FALSE,1,83,#N/A,#N/A,"=R4C72:R64C94",FALSE,"Rwvu.Page4.","Cwvu.Page4.",FALSE,FALSE,TRUE,1,#N/A,#N/A,FALSE,FALSE,TRUE,TRUE,TRUE}</definedName>
    <definedName name="rpm_start_year">Tariff_SimCalculation!$W$2</definedName>
    <definedName name="rtgh" hidden="1">{TRUE,TRUE,-2,-16.25,774,494.25,FALSE,TRUE,TRUE,TRUE,0,32,#N/A,1,#N/A,31.0666666666667,63.6451612903226,1,FALSE,FALSE,3,TRUE,1,FALSE,75,"Swvu.Page3.","ACwvu.Page3.",#N/A,FALSE,FALSE,0.236220472440945,0.275590551181102,0.236220472440945,0.275590551181102,2,"","",TRUE,TRUE,FALSE,FALSE,1,83,#N/A,#N/A,"=R4C48:R64C71",FALSE,"Rwvu.Page3.","Cwvu.Page3.",FALSE,FALSE,TRUE,1,#N/A,#N/A,FALSE,FALSE,TRUE,TRUE,TRUE}</definedName>
    <definedName name="rthrth" hidden="1">{"Deckbl",#N/A,FALSE,"Deckblatt";"Eckzahlen",#N/A,FALSE,"Eckzahlen";"Bilanz",#N/A,FALSE,"Bilanz";"GuV",#N/A,FALSE,"GUV";"GuvScha_Wa",#N/A,FALSE,"GuvScha+Wa";"guvgi",#N/A,FALSE,"GuvGI";"guvdd",#N/A,FALSE,"GuvDD";#N/A,#N/A,FALSE,"Guv3D";"guvwaren",#N/A,FALSE,"GuvWaren";"guvbestückung",#N/A,FALSE,"GuvBestück";"guvprojek",#N/A,FALSE,"GuvProjek";"guvesr",#N/A,FALSE,"GuvESR";"investalt.",#N/A,FALSE,"Invest alt.";"aventw",#N/A,FALSE,"AV-Entw.";"personal",#N/A,FALSE,"Persaufw";"personal2",#N/A,FALSE,"Persaufw";"pmgerüst",#N/A,FALSE,"Preis-Mengen-Gerüst";"cflow1",#N/A,FALSE,"CashFlow";"cflow2",#N/A,FALSE,"CashFlow";"cflow3",#N/A,FALSE,"CashFlow";"FCF",#N/A,FALSE,"Unternehmensbewertung DCF";"WACC",#N/A,FALSE,"Unternehmensbewertung DCF";"Wert",#N/A,FALSE,"Unternehmensbewertung DCF"}</definedName>
    <definedName name="rtzztuzj" hidden="1">{"Deckbl",#N/A,FALSE,"Deckblatt";"Eckzahlen",#N/A,FALSE,"Eckzahlen";"Bilanz",#N/A,FALSE,"Bilanz";"GuV",#N/A,FALSE,"GUV";"GuvScha_Wa",#N/A,FALSE,"GuvScha+Wa";"guvgi",#N/A,FALSE,"GuvGI";"guvdd",#N/A,FALSE,"GuvDD";#N/A,#N/A,FALSE,"Guv3D";"guvwaren",#N/A,FALSE,"GuvWaren";"guvbestückung",#N/A,FALSE,"GuvBestück";"guvprojek",#N/A,FALSE,"GuvProjek";"guvesr",#N/A,FALSE,"GuvESR";"investalt.",#N/A,FALSE,"Invest alt.";"aventw",#N/A,FALSE,"AV-Entw.";"personal",#N/A,FALSE,"Persaufw";"personal2",#N/A,FALSE,"Persaufw";"pmgerüst",#N/A,FALSE,"Preis-Mengen-Gerüst";"cflow1",#N/A,FALSE,"CashFlow";"cflow2",#N/A,FALSE,"CashFlow";"cflow3",#N/A,FALSE,"CashFlow";"FCF",#N/A,FALSE,"Unternehmensbewertung DCF";"WACC",#N/A,FALSE,"Unternehmensbewertung DCF";"Wert",#N/A,FALSE,"Unternehmensbewertung DCF"}</definedName>
    <definedName name="sadsa" hidden="1">{"ProspettoImposte",#N/A,FALSE,"Prospetto imposte";"Scritture",#N/A,FALSE,"Scritture"}</definedName>
    <definedName name="sap"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APBEXdnldView" hidden="1">"470SSBIRYRT47FEHB0AQ5ARY5"</definedName>
    <definedName name="SAPBEXhrIndnt" hidden="1">1</definedName>
    <definedName name="SAPBEXrevision" hidden="1">1</definedName>
    <definedName name="SAPBEXsysID" hidden="1">"AP2"</definedName>
    <definedName name="SAPBEXwbID" hidden="1">"3PPYLZ2VU6OICLKJL0JEILTDV"</definedName>
    <definedName name="SAPFuncF4Help" localSheetId="2" hidden="1">Main.SAPF4Help()</definedName>
    <definedName name="SAPFuncF4Help" localSheetId="3" hidden="1">Main.SAPF4Help()</definedName>
    <definedName name="SAPFuncF4Help" localSheetId="4" hidden="1">Main.SAPF4Help()</definedName>
    <definedName name="SAPFuncF4Help" localSheetId="0" hidden="1">Main.SAPF4Help()</definedName>
    <definedName name="SAPFuncF4Help" hidden="1">Main.SAPF4Help()</definedName>
    <definedName name="sd" hidden="1">{"DCF","UPSIDE CASE",FALSE,"Sheet1";"DCF","BASE CASE",FALSE,"Sheet1";"DCF","DOWNSIDE CASE",FALSE,"Sheet1"}</definedName>
    <definedName name="sdgdf" hidden="1">{"Acq_matrix",#N/A,FALSE,"Acquisition Matrix"}</definedName>
    <definedName name="sdsdfsdf" hidden="1">{"GuVGmbH",#N/A,FALSE,"ratios";"BilanzGmbH",#N/A,FALSE,"ratios";"BilanzKG",#N/A,FALSE,"ratios";"GuVKG",#N/A,FALSE,"ratios"}</definedName>
    <definedName name="sdsdsd" hidden="1">{"profit and loss",#N/A,FALSE,"Summary";"revenues",#N/A,FALSE,"Summary";"COSTS",#N/A,FALSE,"Summary"}</definedName>
    <definedName name="sdsf" hidden="1">{"vi1",#N/A,FALSE,"Financial Statements";"vi2",#N/A,FALSE,"Financial Statements";#N/A,#N/A,FALSE,"DCF"}</definedName>
    <definedName name="sf" hidden="1">{"sales",#N/A,FALSE,"Sales";"sales existing",#N/A,FALSE,"Sales";"sales rd1",#N/A,FALSE,"Sales";"sales rd2",#N/A,FALSE,"Sales"}</definedName>
    <definedName name="sfasfwsdf"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sff" hidden="1">{"targetdcf",#N/A,FALSE,"Merger consequences";"TARGETASSU",#N/A,FALSE,"Merger consequences";"TERMINAL VALUE",#N/A,FALSE,"Merger consequences"}</definedName>
    <definedName name="sfgf" hidden="1">{"DCF","UPSIDE CASE",FALSE,"Sheet1";"DCF","BASE CASE",FALSE,"Sheet1";"DCF","DOWNSIDE CASE",FALSE,"Sheet1"}</definedName>
    <definedName name="sfwefwef" hidden="1">{"Ebit GuV",#N/A,FALSE,"EBIT";"Finanzbedarf1",#N/A,FALSE,"Finanzbedarf";"GuV",#N/A,FALSE,"1.GUV";"GuV Hist. 2",#N/A,FALSE,"1.GUV";"GuV Plan3",#N/A,FALSE,"1.GUV";"Bilanz Aktiva Hist",#N/A,FALSE,"2.Bilanz ";"Bilanz Passiva Hist",#N/A,FALSE,"2.Bilanz ";"Bilanz Aktiva Plan",#N/A,FALSE,"2.Bilanz ";"Bilanz Passiva Plan",#N/A,FALSE,"2.Bilanz ";"Personal Hist",#N/A,FALSE,"1.1.2. Personal";"Personal Plan",#N/A,FALSE,"1.1.2. Personal";"Umschalter AV",#N/A,FALSE,"2.2.Umschalter Anlagevermögen";"AV 93 95",#N/A,FALSE,"2.2.1.Anlagevermögen (Hist.)";"AV Plan 97 98",#N/A,FALSE,"2.2.2.AV Plan";"AV 95 97",#N/A,FALSE,"2.2.1.Anlagevermögen (Hist.)";"AV Plan 98 00",#N/A,FALSE,"2.2.2.AV Plan";"AV Plan 00 01",#N/A,FALSE,"2.2.2.AV Plan"}</definedName>
    <definedName name="solver_adj" localSheetId="2" hidden="1">'CWD 2025_V1'!$R$53:$R$54,'CWD 2025_V1'!$R$60:$R$61,'CWD 2025_V1'!$R$63,'CWD 2025_V1'!$R$65:$R$66,'CWD 2025_V1'!$R$71:$R$72,'CWD 2025_V1'!$R$76:$R$77,'CWD 2025_V1'!$R$79</definedName>
    <definedName name="solver_adj" localSheetId="3" hidden="1">'CWD 2026_V1'!$R$53:$R$54,'CWD 2026_V1'!$R$60:$R$61,'CWD 2026_V1'!$R$63,'CWD 2026_V1'!$R$65:$R$66,'CWD 2026_V1'!$R$71:$R$72,'CWD 2026_V1'!$R$76:$R$77,'CWD 2026_V1'!$R$79</definedName>
    <definedName name="solver_adj" localSheetId="4" hidden="1">'CWD 2027_V1'!$R$53:$R$54,'CWD 2027_V1'!$R$60:$R$61,'CWD 2027_V1'!$R$63,'CWD 2027_V1'!$R$65:$R$66,'CWD 2027_V1'!$R$71:$R$72,'CWD 2027_V1'!$R$76:$R$77,'CWD 2027_V1'!$R$79</definedName>
    <definedName name="solver_cvg" localSheetId="2" hidden="1">0.0001</definedName>
    <definedName name="solver_cvg" localSheetId="3" hidden="1">0.0001</definedName>
    <definedName name="solver_cvg" localSheetId="4" hidden="1">0.0001</definedName>
    <definedName name="solver_drv" localSheetId="2" hidden="1">2</definedName>
    <definedName name="solver_drv" localSheetId="3" hidden="1">2</definedName>
    <definedName name="solver_drv" localSheetId="4" hidden="1">2</definedName>
    <definedName name="solver_drv" hidden="1">2</definedName>
    <definedName name="solver_eng" localSheetId="2" hidden="1">1</definedName>
    <definedName name="solver_eng" localSheetId="3" hidden="1">1</definedName>
    <definedName name="solver_eng" localSheetId="4" hidden="1">1</definedName>
    <definedName name="solver_est" localSheetId="2" hidden="1">1</definedName>
    <definedName name="solver_est" localSheetId="3" hidden="1">1</definedName>
    <definedName name="solver_est" localSheetId="4" hidden="1">1</definedName>
    <definedName name="solver_est" hidden="1">2</definedName>
    <definedName name="solver_itr" localSheetId="2" hidden="1">2147483647</definedName>
    <definedName name="solver_itr" localSheetId="3" hidden="1">2147483647</definedName>
    <definedName name="solver_itr" localSheetId="4" hidden="1">2147483647</definedName>
    <definedName name="solver_itr" hidden="1">32767</definedName>
    <definedName name="solver_lhs1" localSheetId="2" hidden="1">'CWD 2025_V1'!$R$53:$R$80</definedName>
    <definedName name="solver_lhs1" localSheetId="3" hidden="1">'CWD 2026_V1'!$R$53:$R$80</definedName>
    <definedName name="solver_lhs1" localSheetId="4" hidden="1">'CWD 2027_V1'!$R$53:$R$80</definedName>
    <definedName name="solver_lhs2" localSheetId="2" hidden="1">'CWD 2025_V1'!$R$53:$R$80</definedName>
    <definedName name="solver_lhs2" localSheetId="3" hidden="1">'CWD 2026_V1'!$R$53:$R$80</definedName>
    <definedName name="solver_lhs2" localSheetId="4" hidden="1">'CWD 2027_V1'!$R$53:$R$80</definedName>
    <definedName name="solver_lhs3" localSheetId="2" hidden="1">'CWD 2025_V1'!$U$82</definedName>
    <definedName name="solver_lhs3" localSheetId="3" hidden="1">'CWD 2026_V1'!$U$82</definedName>
    <definedName name="solver_lhs3" localSheetId="4" hidden="1">'CWD 2027_V1'!$U$82</definedName>
    <definedName name="solver_lhs4" localSheetId="2" hidden="1">'CWD 2025_V1'!#REF!</definedName>
    <definedName name="solver_lhs4" localSheetId="3" hidden="1">'CWD 2026_V1'!#REF!</definedName>
    <definedName name="solver_lhs4" localSheetId="4" hidden="1">'CWD 2027_V1'!#REF!</definedName>
    <definedName name="solver_lhs5" localSheetId="2" hidden="1">'CWD 2025_V1'!#REF!</definedName>
    <definedName name="solver_lhs5" localSheetId="3" hidden="1">'CWD 2026_V1'!#REF!</definedName>
    <definedName name="solver_lhs5" localSheetId="4" hidden="1">'CWD 2027_V1'!#REF!</definedName>
    <definedName name="solver_lhs6" localSheetId="2" hidden="1">'CWD 2025_V1'!$U$94</definedName>
    <definedName name="solver_lhs6" localSheetId="3" hidden="1">'CWD 2026_V1'!$U$94</definedName>
    <definedName name="solver_lhs6" localSheetId="4" hidden="1">'CWD 2027_V1'!$U$94</definedName>
    <definedName name="solver_lhs7" localSheetId="2" hidden="1">'CWD 2025_V1'!$U$95</definedName>
    <definedName name="solver_lhs7" localSheetId="3" hidden="1">'CWD 2026_V1'!$U$95</definedName>
    <definedName name="solver_lhs7" localSheetId="4" hidden="1">'CWD 2027_V1'!$U$95</definedName>
    <definedName name="solver_lin" hidden="1">0</definedName>
    <definedName name="solver_mip" localSheetId="2" hidden="1">2147483647</definedName>
    <definedName name="solver_mip" localSheetId="3" hidden="1">2147483647</definedName>
    <definedName name="solver_mip" localSheetId="4" hidden="1">2147483647</definedName>
    <definedName name="solver_mni" localSheetId="2" hidden="1">30</definedName>
    <definedName name="solver_mni" localSheetId="3" hidden="1">30</definedName>
    <definedName name="solver_mni" localSheetId="4" hidden="1">30</definedName>
    <definedName name="solver_mrt" localSheetId="2" hidden="1">0.075</definedName>
    <definedName name="solver_mrt" localSheetId="3" hidden="1">0.075</definedName>
    <definedName name="solver_mrt" localSheetId="4" hidden="1">0.075</definedName>
    <definedName name="solver_msl" localSheetId="2" hidden="1">2</definedName>
    <definedName name="solver_msl" localSheetId="3" hidden="1">2</definedName>
    <definedName name="solver_msl" localSheetId="4" hidden="1">2</definedName>
    <definedName name="solver_neg" localSheetId="2" hidden="1">1</definedName>
    <definedName name="solver_neg" localSheetId="3" hidden="1">1</definedName>
    <definedName name="solver_neg" localSheetId="4" hidden="1">1</definedName>
    <definedName name="solver_nod" localSheetId="2" hidden="1">2147483647</definedName>
    <definedName name="solver_nod" localSheetId="3" hidden="1">2147483647</definedName>
    <definedName name="solver_nod" localSheetId="4" hidden="1">2147483647</definedName>
    <definedName name="solver_num" localSheetId="2" hidden="1">7</definedName>
    <definedName name="solver_num" localSheetId="3" hidden="1">7</definedName>
    <definedName name="solver_num" localSheetId="4" hidden="1">7</definedName>
    <definedName name="solver_num" hidden="1">0</definedName>
    <definedName name="solver_nwt" localSheetId="2" hidden="1">1</definedName>
    <definedName name="solver_nwt" localSheetId="3" hidden="1">1</definedName>
    <definedName name="solver_nwt" localSheetId="4" hidden="1">1</definedName>
    <definedName name="solver_nwt" hidden="1">1</definedName>
    <definedName name="solver_opt" localSheetId="2" hidden="1">'CWD 2025_V1'!#REF!</definedName>
    <definedName name="solver_opt" localSheetId="3" hidden="1">'CWD 2026_V1'!#REF!</definedName>
    <definedName name="solver_opt" localSheetId="4" hidden="1">'CWD 2027_V1'!#REF!</definedName>
    <definedName name="solver_pre" localSheetId="2" hidden="1">0.000001</definedName>
    <definedName name="solver_pre" localSheetId="3" hidden="1">0.000001</definedName>
    <definedName name="solver_pre" localSheetId="4" hidden="1">0.000001</definedName>
    <definedName name="solver_pre" hidden="1">0.00000000001</definedName>
    <definedName name="solver_rbv" localSheetId="2" hidden="1">2</definedName>
    <definedName name="solver_rbv" localSheetId="3" hidden="1">2</definedName>
    <definedName name="solver_rbv" localSheetId="4" hidden="1">2</definedName>
    <definedName name="solver_rel1" localSheetId="2" hidden="1">1</definedName>
    <definedName name="solver_rel1" localSheetId="3" hidden="1">1</definedName>
    <definedName name="solver_rel1" localSheetId="4" hidden="1">1</definedName>
    <definedName name="solver_rel2" localSheetId="2" hidden="1">3</definedName>
    <definedName name="solver_rel2" localSheetId="3" hidden="1">3</definedName>
    <definedName name="solver_rel2" localSheetId="4" hidden="1">3</definedName>
    <definedName name="solver_rel2" hidden="1">1</definedName>
    <definedName name="solver_rel3" localSheetId="2" hidden="1">2</definedName>
    <definedName name="solver_rel3" localSheetId="3" hidden="1">2</definedName>
    <definedName name="solver_rel3" localSheetId="4" hidden="1">2</definedName>
    <definedName name="solver_rel4" localSheetId="2" hidden="1">1</definedName>
    <definedName name="solver_rel4" localSheetId="3" hidden="1">1</definedName>
    <definedName name="solver_rel4" localSheetId="4" hidden="1">1</definedName>
    <definedName name="solver_rel5" localSheetId="2" hidden="1">1</definedName>
    <definedName name="solver_rel5" localSheetId="3" hidden="1">1</definedName>
    <definedName name="solver_rel5" localSheetId="4" hidden="1">1</definedName>
    <definedName name="solver_rel6" localSheetId="2" hidden="1">1</definedName>
    <definedName name="solver_rel6" localSheetId="3" hidden="1">1</definedName>
    <definedName name="solver_rel6" localSheetId="4" hidden="1">1</definedName>
    <definedName name="solver_rel7" localSheetId="2" hidden="1">1</definedName>
    <definedName name="solver_rel7" localSheetId="3" hidden="1">1</definedName>
    <definedName name="solver_rel7" localSheetId="4" hidden="1">1</definedName>
    <definedName name="solver_rhs1" localSheetId="2" hidden="1">'CWD 2025_V1'!$P$53:$P$80</definedName>
    <definedName name="solver_rhs1" localSheetId="3" hidden="1">'CWD 2026_V1'!$P$53:$P$80</definedName>
    <definedName name="solver_rhs1" localSheetId="4" hidden="1">'CWD 2027_V1'!$P$53:$P$80</definedName>
    <definedName name="solver_rhs2" localSheetId="2" hidden="1">0</definedName>
    <definedName name="solver_rhs2" localSheetId="3" hidden="1">0</definedName>
    <definedName name="solver_rhs2" localSheetId="4" hidden="1">0</definedName>
    <definedName name="solver_rhs3" localSheetId="2" hidden="1">0</definedName>
    <definedName name="solver_rhs3" localSheetId="3" hidden="1">0</definedName>
    <definedName name="solver_rhs3" localSheetId="4" hidden="1">0</definedName>
    <definedName name="solver_rhs4" localSheetId="2" hidden="1">'CWD 2025_V1'!$W$92</definedName>
    <definedName name="solver_rhs4" localSheetId="3" hidden="1">'CWD 2026_V1'!$W$92</definedName>
    <definedName name="solver_rhs4" localSheetId="4" hidden="1">'CWD 2027_V1'!$W$92</definedName>
    <definedName name="solver_rhs5" localSheetId="2" hidden="1">'CWD 2025_V1'!$W$93</definedName>
    <definedName name="solver_rhs5" localSheetId="3" hidden="1">'CWD 2026_V1'!$W$93</definedName>
    <definedName name="solver_rhs5" localSheetId="4" hidden="1">'CWD 2027_V1'!$W$93</definedName>
    <definedName name="solver_rhs6" localSheetId="2" hidden="1">'CWD 2025_V1'!$W$94</definedName>
    <definedName name="solver_rhs6" localSheetId="3" hidden="1">'CWD 2026_V1'!$W$94</definedName>
    <definedName name="solver_rhs6" localSheetId="4" hidden="1">'CWD 2027_V1'!$W$94</definedName>
    <definedName name="solver_rhs7" localSheetId="2" hidden="1">'CWD 2025_V1'!$W$95</definedName>
    <definedName name="solver_rhs7" localSheetId="3" hidden="1">'CWD 2026_V1'!$W$95</definedName>
    <definedName name="solver_rhs7" localSheetId="4" hidden="1">'CWD 2027_V1'!$W$95</definedName>
    <definedName name="solver_rlx" localSheetId="2" hidden="1">2</definedName>
    <definedName name="solver_rlx" localSheetId="3" hidden="1">2</definedName>
    <definedName name="solver_rlx" localSheetId="4" hidden="1">2</definedName>
    <definedName name="solver_rsd" localSheetId="2" hidden="1">0</definedName>
    <definedName name="solver_rsd" localSheetId="3" hidden="1">0</definedName>
    <definedName name="solver_rsd" localSheetId="4" hidden="1">0</definedName>
    <definedName name="solver_scl" localSheetId="2" hidden="1">2</definedName>
    <definedName name="solver_scl" localSheetId="3" hidden="1">2</definedName>
    <definedName name="solver_scl" localSheetId="4" hidden="1">2</definedName>
    <definedName name="solver_scl" hidden="1">0</definedName>
    <definedName name="solver_sho" localSheetId="2" hidden="1">2</definedName>
    <definedName name="solver_sho" localSheetId="3" hidden="1">2</definedName>
    <definedName name="solver_sho" localSheetId="4" hidden="1">2</definedName>
    <definedName name="solver_sho" hidden="1">0</definedName>
    <definedName name="solver_ssz" localSheetId="2" hidden="1">100</definedName>
    <definedName name="solver_ssz" localSheetId="3" hidden="1">100</definedName>
    <definedName name="solver_ssz" localSheetId="4" hidden="1">100</definedName>
    <definedName name="solver_tim" localSheetId="2" hidden="1">2147483647</definedName>
    <definedName name="solver_tim" localSheetId="3" hidden="1">2147483647</definedName>
    <definedName name="solver_tim" localSheetId="4" hidden="1">2147483647</definedName>
    <definedName name="solver_tim" hidden="1">32767</definedName>
    <definedName name="solver_tol" localSheetId="2" hidden="1">0.01</definedName>
    <definedName name="solver_tol" localSheetId="3" hidden="1">0.01</definedName>
    <definedName name="solver_tol" localSheetId="4" hidden="1">0.01</definedName>
    <definedName name="solver_tol" hidden="1">0.000000001</definedName>
    <definedName name="solver_typ" localSheetId="2" hidden="1">2</definedName>
    <definedName name="solver_typ" localSheetId="3" hidden="1">2</definedName>
    <definedName name="solver_typ" localSheetId="4" hidden="1">2</definedName>
    <definedName name="solver_typ" hidden="1">3</definedName>
    <definedName name="solver_val" localSheetId="2" hidden="1">0</definedName>
    <definedName name="solver_val" localSheetId="3" hidden="1">0</definedName>
    <definedName name="solver_val" localSheetId="4" hidden="1">0</definedName>
    <definedName name="solver_val" hidden="1">0</definedName>
    <definedName name="solver_ver" localSheetId="2" hidden="1">3</definedName>
    <definedName name="solver_ver" localSheetId="3" hidden="1">3</definedName>
    <definedName name="solver_ver" localSheetId="4" hidden="1">3</definedName>
    <definedName name="spnpwindpq" hidden="1">{"'WEB azoc prov'!$B$85:$L$123"}</definedName>
    <definedName name="ss" hidden="1">{"'777'!$A$1:$H$41"}</definedName>
    <definedName name="SSASASA" hidden="1">{"'WEB azoc prov'!$B$85:$L$123"}</definedName>
    <definedName name="sss" hidden="1">{"Scritture",#N/A,FALSE,"Scritture"}</definedName>
    <definedName name="ssss" hidden="1">{"ProspettoImposte",#N/A,FALSE,"Prospetto imposte"}</definedName>
    <definedName name="sssssssss" hidden="1">{"'WEB azoc prov'!$B$85:$L$123"}</definedName>
    <definedName name="ssssxs" hidden="1">{"ProspettoImposte",#N/A,FALSE,"Prospetto imposte"}</definedName>
    <definedName name="ssws" hidden="1">{"Aktiva_Gittelde",#N/A,TRUE,"Bilanz-Gittelde";"Liabilities_gittelde",#N/A,TRUE,"Bilanz-Gittelde";"GuV_Gittelde",#N/A,TRUE,"GuV-Gittelde";"Aktiva Dresden",#N/A,TRUE,"Bilanz-Dresden";"Passiva Dresden",#N/A,TRUE,"Bilanz-Dresden";"guv Dresden",#N/A,TRUE,"Guv-Dresden";"FPC_Aktiva_hist",#N/A,TRUE,"Bilanz-FPC-D&amp;Co";"FPC_Passiva_hist",#N/A,TRUE,"Bilanz-FPC-D&amp;Co";"FPC_Aktiva_Plan",#N/A,TRUE,"Bilanz-FPC-D&amp;Co";"FPC_Passiva_Plan",#N/A,TRUE,"Bilanz-FPC-D&amp;Co";"FPC_GuV_hist",#N/A,TRUE,"GuV-FPC";"FPC_GuV_Plan",#N/A,TRUE,"GuV-FPC"}</definedName>
    <definedName name="ssww" hidden="1">{"Ebit GuV",#N/A,FALSE,"EBIT";"Finanzbedarf1",#N/A,FALSE,"Finanzbedarf";"GuV",#N/A,FALSE,"1.GUV";"GuV Hist. 2",#N/A,FALSE,"1.GUV";"GuV Plan3",#N/A,FALSE,"1.GUV";"Bilanz Aktiva Hist",#N/A,FALSE,"2.Bilanz ";"Bilanz Passiva Hist",#N/A,FALSE,"2.Bilanz ";"Bilanz Aktiva Plan",#N/A,FALSE,"2.Bilanz ";"Bilanz Passiva Plan",#N/A,FALSE,"2.Bilanz ";"Personal Hist",#N/A,FALSE,"1.1.2. Personal";"Personal Plan",#N/A,FALSE,"1.1.2. Personal";"Umschalter AV",#N/A,FALSE,"2.2.Umschalter Anlagevermögen";"AV 93 95",#N/A,FALSE,"2.2.1.Anlagevermögen (Hist.)";"AV Plan 97 98",#N/A,FALSE,"2.2.2.AV Plan";"AV 95 97",#N/A,FALSE,"2.2.1.Anlagevermögen (Hist.)";"AV Plan 98 00",#N/A,FALSE,"2.2.2.AV Plan";"AV Plan 00 01",#N/A,FALSE,"2.2.2.AV Plan"}</definedName>
    <definedName name="STGGHGTTH" hidden="1">{"'WEB azoc prov'!$B$85:$L$123"}</definedName>
    <definedName name="Summary"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SVD" hidden="1">{"GuVGmbH",#N/A,FALSE,"ratios";"BilanzGmbH",#N/A,FALSE,"ratios";"BilanzKG",#N/A,FALSE,"ratios";"GuVKG",#N/A,FALSE,"ratios"}</definedName>
    <definedName name="sxqas" hidden="1">{"Scritture",#N/A,FALSE,"Scritture"}</definedName>
    <definedName name="t" hidden="1">{"'WEB azoc prov'!$B$85:$L$123"}</definedName>
    <definedName name="Tables" hidden="1">{"sales",#N/A,FALSE,"Sales";"sales existing",#N/A,FALSE,"Sales";"sales rd1",#N/A,FALSE,"Sales";"sales rd2",#N/A,FALSE,"Sales"}</definedName>
    <definedName name="tariff_2025">Tariff_SimCalculation!$O$133:$O$150</definedName>
    <definedName name="tariff_2026">Tariff_SimCalculation!$P$133:$P$150</definedName>
    <definedName name="tariff_2027">Tariff_SimCalculation!$Q$133:$Q$150</definedName>
    <definedName name="tests" hidden="1">{#N/A,#N/A,FALSE,"F_Plan";#N/A,#N/A,FALSE,"Parameter"}</definedName>
    <definedName name="thgbj" hidden="1">{"adj95mult",#N/A,FALSE,"COMPCO";"adj95est",#N/A,FALSE,"COMPCO"}</definedName>
    <definedName name="titi" hidden="1">{"ratios2",#N/A,FALSE,"Ratios"}</definedName>
    <definedName name="tll" hidden="1">{"Ebit GuV",#N/A,FALSE,"EBIT";"Finanzbedarf1",#N/A,FALSE,"Finanzbedarf";"GuV",#N/A,FALSE,"1.GUV";"GuV Hist. 2",#N/A,FALSE,"1.GUV";"GuV Plan3",#N/A,FALSE,"1.GUV";"Bilanz Aktiva Hist",#N/A,FALSE,"2.Bilanz ";"Bilanz Passiva Hist",#N/A,FALSE,"2.Bilanz ";"Bilanz Aktiva Plan",#N/A,FALSE,"2.Bilanz ";"Bilanz Passiva Plan",#N/A,FALSE,"2.Bilanz ";"Personal Hist",#N/A,FALSE,"1.1.2. Personal";"Personal Plan",#N/A,FALSE,"1.1.2. Personal";"Umschalter AV",#N/A,FALSE,"2.2.Umschalter Anlagevermögen";"AV 93 95",#N/A,FALSE,"2.2.1.Anlagevermögen (Hist.)";"AV Plan 97 98",#N/A,FALSE,"2.2.2.AV Plan";"AV 95 97",#N/A,FALSE,"2.2.1.Anlagevermögen (Hist.)";"AV Plan 98 00",#N/A,FALSE,"2.2.2.AV Plan";"AV Plan 00 01",#N/A,FALSE,"2.2.2.AV Plan"}</definedName>
    <definedName name="toto" hidden="1">{"ratios2",#N/A,FALSE,"Ratios"}</definedName>
    <definedName name="trygf" hidden="1">{"adj95mult",#N/A,FALSE,"COMPCO";"adj95est",#N/A,FALSE,"COMPCO"}</definedName>
    <definedName name="TT" hidden="1">{"'WEB azoc prov'!$B$85:$L$123"}</definedName>
    <definedName name="tyufg" hidden="1">{"AQUIRORDCF",#N/A,FALSE,"Merger consequences";"Acquirorassns",#N/A,FALSE,"Merger consequences"}</definedName>
    <definedName name="U_Häufig_PlanBi_28.02.08" hidden="1">{"Budget9596",#N/A,TRUE,"KSTGES.XLS";"Budget9596",#N/A,TRUE,"KST10.XLS";"Budget9596",#N/A,TRUE,"KST11.XLS";"Budget9596",#N/A,TRUE,"KST12.XLS";"Budget9596",#N/A,TRUE,"KST15.XLS";"Budget9596",#N/A,TRUE,"KST20.XLS";"Budget9596",#N/A,TRUE,"KST25.XLS";"Budget9596",#N/A,TRUE,"KST30.XLS";"Budget9596",#N/A,TRUE,"KST40.XLS";"Budget9596",#N/A,TRUE,"KST41.XLS";"Budget9596",#N/A,TRUE,"KST45.XLS";"Budget9596",#N/A,TRUE,"KST50.XLS";"Budget9596",#N/A,TRUE,"KST60.XLS";"Budget9596",#N/A,TRUE,"KST61.XLS";"Budget9596",#N/A,TRUE,"KST65.XLS";"Budget9596",#N/A,TRUE,"KST70.XLS";"Budget9596",#N/A,TRUE,"KST80.XLS";"Budget9596",#N/A,TRUE,"KST90.XLS"}</definedName>
    <definedName name="uiiuiui" hidden="1">{"Ebit GuV",#N/A,FALSE,"EBIT";"Finanzbedarf1",#N/A,FALSE,"Finanzbedarf";"GuV",#N/A,FALSE,"1.GUV";"GuV Hist. 2",#N/A,FALSE,"1.GUV";"GuV Plan3",#N/A,FALSE,"1.GUV";"Bilanz Aktiva Hist",#N/A,FALSE,"2.Bilanz ";"Bilanz Passiva Hist",#N/A,FALSE,"2.Bilanz ";"Bilanz Aktiva Plan",#N/A,FALSE,"2.Bilanz ";"Bilanz Passiva Plan",#N/A,FALSE,"2.Bilanz ";"Personal Hist",#N/A,FALSE,"1.1.2. Personal";"Personal Plan",#N/A,FALSE,"1.1.2. Personal";"Umschalter AV",#N/A,FALSE,"2.2.Umschalter Anlagevermögen";"AV 93 95",#N/A,FALSE,"2.2.1.Anlagevermögen (Hist.)";"AV Plan 97 98",#N/A,FALSE,"2.2.2.AV Plan";"AV 95 97",#N/A,FALSE,"2.2.1.Anlagevermögen (Hist.)";"AV Plan 98 00",#N/A,FALSE,"2.2.2.AV Plan";"AV Plan 00 01",#N/A,FALSE,"2.2.2.AV Plan"}</definedName>
    <definedName name="V_SUm" hidden="1">{#N/A,#N/A,FALSE,"Summary";#N/A,#N/A,FALSE,"Base Materials";#N/A,#N/A,FALSE,"Construction";#N/A,#N/A,FALSE,"Packaging";#N/A,#N/A,FALSE,"Transportation"}</definedName>
    <definedName name="val\" hidden="1">{#N/A,#N/A,FALSE,"Summary";#N/A,#N/A,FALSE,"Base Materials";#N/A,#N/A,FALSE,"Construction";#N/A,#N/A,FALSE,"Packaging";#N/A,#N/A,FALSE,"Transportation"}</definedName>
    <definedName name="vvv" hidden="1">{"DCF","UPSIDE CASE",FALSE,"Sheet1";"DCF","BASE CASE",FALSE,"Sheet1";"DCF","DOWNSIDE CASE",FALSE,"Sheet1"}</definedName>
    <definedName name="w" hidden="1">{"'WEB azoc prov'!$B$85:$L$123"}</definedName>
    <definedName name="wdq" hidden="1">{"ProspettoImposte",#N/A,FALSE,"Prospetto imposte";"Scritture",#N/A,FALSE,"Scritture"}</definedName>
    <definedName name="WE" hidden="1">{"Ebit GuV",#N/A,FALSE,"EBIT";"Finanzbedarf1",#N/A,FALSE,"Finanzbedarf";"GuV",#N/A,FALSE,"1.GUV";"GuV Hist. 2",#N/A,FALSE,"1.GUV";"GuV Plan3",#N/A,FALSE,"1.GUV";"Bilanz Aktiva Hist",#N/A,FALSE,"2.Bilanz ";"Bilanz Passiva Hist",#N/A,FALSE,"2.Bilanz ";"Bilanz Aktiva Plan",#N/A,FALSE,"2.Bilanz ";"Bilanz Passiva Plan",#N/A,FALSE,"2.Bilanz ";"Personal Hist",#N/A,FALSE,"1.1.2. Personal";"Personal Plan",#N/A,FALSE,"1.1.2. Personal";"Umschalter AV",#N/A,FALSE,"2.2.Umschalter Anlagevermögen";"AV 93 95",#N/A,FALSE,"2.2.1.Anlagevermögen (Hist.)";"AV Plan 97 98",#N/A,FALSE,"2.2.2.AV Plan";"AV 95 97",#N/A,FALSE,"2.2.1.Anlagevermögen (Hist.)";"AV Plan 98 00",#N/A,FALSE,"2.2.2.AV Plan";"AV Plan 00 01",#N/A,FALSE,"2.2.2.AV Plan"}</definedName>
    <definedName name="wef4f" hidden="1">{"GuVGmbH",#N/A,FALSE,"ratios";"BilanzGmbH",#N/A,FALSE,"ratios";"BilanzKG",#N/A,FALSE,"ratios";"GuVKG",#N/A,FALSE,"ratios"}</definedName>
    <definedName name="WEFWEF" hidden="1">{"Deckbl",#N/A,FALSE,"Deckblatt";"Eckzahlen",#N/A,FALSE,"Eckzahlen";"Bilanz",#N/A,FALSE,"Bilanz";"GuV",#N/A,FALSE,"GUV";"GuvScha_Wa",#N/A,FALSE,"GuvScha+Wa";"guvgi",#N/A,FALSE,"GuvGI";"guvdd",#N/A,FALSE,"GuvDD";#N/A,#N/A,FALSE,"Guv3D";"guvwaren",#N/A,FALSE,"GuvWaren";"guvbestückung",#N/A,FALSE,"GuvBestück";"guvprojek",#N/A,FALSE,"GuvProjek";"guvesr",#N/A,FALSE,"GuvESR";"investalt.",#N/A,FALSE,"Invest alt.";"aventw",#N/A,FALSE,"AV-Entw.";"personal",#N/A,FALSE,"Persaufw";"personal2",#N/A,FALSE,"Persaufw";"pmgerüst",#N/A,FALSE,"Preis-Mengen-Gerüst";"cflow1",#N/A,FALSE,"CashFlow";"cflow2",#N/A,FALSE,"CashFlow";"cflow3",#N/A,FALSE,"CashFlow";"FCF",#N/A,FALSE,"Unternehmensbewertung DCF";"WACC",#N/A,FALSE,"Unternehmensbewertung DCF";"Wert",#N/A,FALSE,"Unternehmensbewertung DCF"}</definedName>
    <definedName name="wer" hidden="1">{"Ebit GuV",#N/A,FALSE,"EBIT";"Finanzbedarf1",#N/A,FALSE,"Finanzbedarf";"GuV",#N/A,FALSE,"1.GUV";"GuV Hist. 2",#N/A,FALSE,"1.GUV";"GuV Plan3",#N/A,FALSE,"1.GUV";"Bilanz Aktiva Hist",#N/A,FALSE,"2.Bilanz ";"Bilanz Passiva Hist",#N/A,FALSE,"2.Bilanz ";"Bilanz Aktiva Plan",#N/A,FALSE,"2.Bilanz ";"Bilanz Passiva Plan",#N/A,FALSE,"2.Bilanz ";"Personal Hist",#N/A,FALSE,"1.1.2. Personal";"Personal Plan",#N/A,FALSE,"1.1.2. Personal";"Umschalter AV",#N/A,FALSE,"2.2.Umschalter Anlagevermögen";"AV 93 95",#N/A,FALSE,"2.2.1.Anlagevermögen (Hist.)";"AV Plan 97 98",#N/A,FALSE,"2.2.2.AV Plan";"AV 95 97",#N/A,FALSE,"2.2.1.Anlagevermögen (Hist.)";"AV Plan 98 00",#N/A,FALSE,"2.2.2.AV Plan";"AV Plan 00 01",#N/A,FALSE,"2.2.2.AV Plan"}</definedName>
    <definedName name="wewe" hidden="1">{"Deckbl",#N/A,FALSE,"Deckblatt";"Eckzahlen",#N/A,FALSE,"Eckzahlen";"Bilanz",#N/A,FALSE,"Bilanz";"GuV",#N/A,FALSE,"GUV";"GuvScha_Wa",#N/A,FALSE,"GuvScha+Wa";"guvgi",#N/A,FALSE,"GuvGI";"guvdd",#N/A,FALSE,"GuvDD";#N/A,#N/A,FALSE,"Guv3D";"guvwaren",#N/A,FALSE,"GuvWaren";"guvbestückung",#N/A,FALSE,"GuvBestück";"guvprojek",#N/A,FALSE,"GuvProjek";"guvesr",#N/A,FALSE,"GuvESR";"investalt.",#N/A,FALSE,"Invest alt.";"aventw",#N/A,FALSE,"AV-Entw.";"personal",#N/A,FALSE,"Persaufw";"personal2",#N/A,FALSE,"Persaufw";"pmgerüst",#N/A,FALSE,"Preis-Mengen-Gerüst";"cflow1",#N/A,FALSE,"CashFlow";"cflow2",#N/A,FALSE,"CashFlow";"cflow3",#N/A,FALSE,"CashFlow";"FCF",#N/A,FALSE,"Unternehmensbewertung DCF";"WACC",#N/A,FALSE,"Unternehmensbewertung DCF";"Wert",#N/A,FALSE,"Unternehmensbewertung DCF"}</definedName>
    <definedName name="wewrrht" hidden="1">{"Ebit GuV",#N/A,FALSE,"EBIT";"Finanzbedarf1",#N/A,FALSE,"Finanzbedarf";"GuV",#N/A,FALSE,"1.GUV";"GuV Hist. 2",#N/A,FALSE,"1.GUV";"GuV Plan3",#N/A,FALSE,"1.GUV";"Bilanz Aktiva Hist",#N/A,FALSE,"2.Bilanz ";"Bilanz Passiva Hist",#N/A,FALSE,"2.Bilanz ";"Bilanz Aktiva Plan",#N/A,FALSE,"2.Bilanz ";"Bilanz Passiva Plan",#N/A,FALSE,"2.Bilanz ";"Personal Hist",#N/A,FALSE,"1.1.2. Personal";"Personal Plan",#N/A,FALSE,"1.1.2. Personal";"Umschalter AV",#N/A,FALSE,"2.2.Umschalter Anlagevermögen";"AV 93 95",#N/A,FALSE,"2.2.1.Anlagevermögen (Hist.)";"AV Plan 97 98",#N/A,FALSE,"2.2.2.AV Plan";"AV 95 97",#N/A,FALSE,"2.2.1.Anlagevermögen (Hist.)";"AV Plan 98 00",#N/A,FALSE,"2.2.2.AV Plan";"AV Plan 00 01",#N/A,FALSE,"2.2.2.AV Plan"}</definedName>
    <definedName name="WHRwhrWHR" hidden="1">{"Aktiva_Gittelde",#N/A,TRUE,"Bilanz-Gittelde";"Liabilities_gittelde",#N/A,TRUE,"Bilanz-Gittelde";"GuV_Gittelde",#N/A,TRUE,"GuV-Gittelde";"Aktiva Dresden",#N/A,TRUE,"Bilanz-Dresden";"Passiva Dresden",#N/A,TRUE,"Bilanz-Dresden";"guv Dresden",#N/A,TRUE,"Guv-Dresden";"FPC_Aktiva_hist",#N/A,TRUE,"Bilanz-FPC-D&amp;Co";"FPC_Passiva_hist",#N/A,TRUE,"Bilanz-FPC-D&amp;Co";"FPC_Aktiva_Plan",#N/A,TRUE,"Bilanz-FPC-D&amp;Co";"FPC_Passiva_Plan",#N/A,TRUE,"Bilanz-FPC-D&amp;Co";"FPC_GuV_hist",#N/A,TRUE,"GuV-FPC";"FPC_GuV_Plan",#N/A,TRUE,"GuV-FPC"}</definedName>
    <definedName name="whrWHRwhrWR" hidden="1">{"GuVGmbH",#N/A,FALSE,"ratios";"BilanzGmbH",#N/A,FALSE,"ratios";"BilanzKG",#N/A,FALSE,"ratios";"GuVKG",#N/A,FALSE,"ratios"}</definedName>
    <definedName name="whrWHRwrhWRHwrh" hidden="1">{"Ebit GuV",#N/A,FALSE,"EBIT";"Finanzbedarf1",#N/A,FALSE,"Finanzbedarf";"GuV",#N/A,FALSE,"1.GUV";"GuV Hist. 2",#N/A,FALSE,"1.GUV";"GuV Plan3",#N/A,FALSE,"1.GUV";"Bilanz Aktiva Hist",#N/A,FALSE,"2.Bilanz ";"Bilanz Passiva Hist",#N/A,FALSE,"2.Bilanz ";"Bilanz Aktiva Plan",#N/A,FALSE,"2.Bilanz ";"Bilanz Passiva Plan",#N/A,FALSE,"2.Bilanz ";"Personal Hist",#N/A,FALSE,"1.1.2. Personal";"Personal Plan",#N/A,FALSE,"1.1.2. Personal";"Umschalter AV",#N/A,FALSE,"2.2.Umschalter Anlagevermögen";"AV 93 95",#N/A,FALSE,"2.2.1.Anlagevermögen (Hist.)";"AV Plan 97 98",#N/A,FALSE,"2.2.2.AV Plan";"AV 95 97",#N/A,FALSE,"2.2.1.Anlagevermögen (Hist.)";"AV Plan 98 00",#N/A,FALSE,"2.2.2.AV Plan";"AV Plan 00 01",#N/A,FALSE,"2.2.2.AV Plan"}</definedName>
    <definedName name="WHRwr" hidden="1">{"Deckbl",#N/A,FALSE,"Deckblatt";"Eckzahlen",#N/A,FALSE,"Eckzahlen";"Bilanz",#N/A,FALSE,"Bilanz";"GuV",#N/A,FALSE,"GUV";"GuvScha_Wa",#N/A,FALSE,"GuvScha+Wa";"guvgi",#N/A,FALSE,"GuvGI";"guvdd",#N/A,FALSE,"GuvDD";#N/A,#N/A,FALSE,"Guv3D";"guvwaren",#N/A,FALSE,"GuvWaren";"guvbestückung",#N/A,FALSE,"GuvBestück";"guvprojek",#N/A,FALSE,"GuvProjek";"guvesr",#N/A,FALSE,"GuvESR";"investalt.",#N/A,FALSE,"Invest alt.";"aventw",#N/A,FALSE,"AV-Entw.";"personal",#N/A,FALSE,"Persaufw";"personal2",#N/A,FALSE,"Persaufw";"pmgerüst",#N/A,FALSE,"Preis-Mengen-Gerüst";"cflow1",#N/A,FALSE,"CashFlow";"cflow2",#N/A,FALSE,"CashFlow";"cflow3",#N/A,FALSE,"CashFlow";"FCF",#N/A,FALSE,"Unternehmensbewertung DCF";"WACC",#N/A,FALSE,"Unternehmensbewertung DCF";"Wert",#N/A,FALSE,"Unternehmensbewertung DCF"}</definedName>
    <definedName name="WHRwrh" hidden="1">{"WACC",#N/A,FALSE,"Bewertung D&amp;Co";"DCF",#N/A,FALSE,"Bewertung D&amp;Co";"Wert",#N/A,FALSE,"Bewertung D&amp;Co";"Investitionen",#N/A,FALSE,"Cash D&amp;Co";"EBIT",#N/A,FALSE,"Cash D&amp;Co";"Cash Flow",#N/A,FALSE,"Cash D&amp;Co";"FCF",#N/A,FALSE,"Cash D&amp;Co";"EBIT Multiplier",#N/A,FALSE,"EBIT-Multiplier";"Branchen Beta",#N/A,FALSE,"Branchen-Beta";"Dax Rendite",#N/A,FALSE,"DAX-Rendite";"Bu Rendite",#N/A,FALSE,"Bu-Anl-Rendite"}</definedName>
    <definedName name="wqpkdnqwpdion" hidden="1">{"'WEB azoc prov'!$B$85:$L$123"}</definedName>
    <definedName name="wqqw" hidden="1">{"Ebit GuV",#N/A,FALSE,"EBIT";"Finanzbedarf1",#N/A,FALSE,"Finanzbedarf";"GuV",#N/A,FALSE,"1.GUV";"GuV Hist. 2",#N/A,FALSE,"1.GUV";"GuV Plan3",#N/A,FALSE,"1.GUV";"Bilanz Aktiva Hist",#N/A,FALSE,"2.Bilanz ";"Bilanz Passiva Hist",#N/A,FALSE,"2.Bilanz ";"Bilanz Aktiva Plan",#N/A,FALSE,"2.Bilanz ";"Bilanz Passiva Plan",#N/A,FALSE,"2.Bilanz ";"Personal Hist",#N/A,FALSE,"1.1.2. Personal";"Personal Plan",#N/A,FALSE,"1.1.2. Personal";"Umschalter AV",#N/A,FALSE,"2.2.Umschalter Anlagevermögen";"AV 93 95",#N/A,FALSE,"2.2.1.Anlagevermögen (Hist.)";"AV Plan 97 98",#N/A,FALSE,"2.2.2.AV Plan";"AV 95 97",#N/A,FALSE,"2.2.1.Anlagevermögen (Hist.)";"AV Plan 98 00",#N/A,FALSE,"2.2.2.AV Plan";"AV Plan 00 01",#N/A,FALSE,"2.2.2.AV Plan"}</definedName>
    <definedName name="wrn" hidden="1">{"EVA",#N/A,FALSE,"EVA";"WACC",#N/A,FALSE,"WACC"}</definedName>
    <definedName name="wrn.Accounts." hidden="1">{"turnover",#N/A,FALSE;"profits",#N/A,FALSE;"cash",#N/A,FALSE}</definedName>
    <definedName name="wrn.Acquisition_matrix." hidden="1">{"Acq_matrix",#N/A,FALSE,"Acquisition Matrix"}</definedName>
    <definedName name="wrn.Acquisition_matrix1" hidden="1">{"Acq_matrix",#N/A,FALSE,"Acquisition Matrix"}</definedName>
    <definedName name="wrn.adj95." hidden="1">{"adj95mult",#N/A,FALSE,"COMPCO";"adj95est",#N/A,FALSE,"COMPCO"}</definedName>
    <definedName name="wrn.adj95a" hidden="1">{"adj95mult",#N/A,FALSE,"COMPCO";"adj95est",#N/A,FALSE,"COMPCO"}</definedName>
    <definedName name="wrn.Aging._.and._.Trend._.Analysis." hidden="1">{#N/A,#N/A,FALSE,"Aging Summary";#N/A,#N/A,FALSE,"Ratio Analysis";#N/A,#N/A,FALSE,"Test 120 Day Accts";#N/A,#N/A,FALSE,"Tickmarks"}</definedName>
    <definedName name="wrn.ALAN." hidden="1">{"CREDIT STATISTICS",#N/A,FALSE,"STATS";"CF_AND_IS",#N/A,FALSE,"PLAN";"DEBT SCHEDULE",#N/A,FALSE,"PLAN";"SUBSCRIBERS",#N/A,FALSE,"PLAN";"DETAIL_REV",#N/A,FALSE,"PLAN";"DETAIL_EXPENSE",#N/A,FALSE,"PLAN";"SALES_AND EXP_DRIVERS",#N/A,FALSE,"PLAN";"FIXED ASSETS",#N/A,FALSE,"PLAN";"DEPRECIATION SCHEDULE",#N/A,FALSE,"PLAN"}</definedName>
    <definedName name="wrn.All." hidden="1">{"CS",#N/A,FALSE,"STATS";"Inc",#N/A,FALSE,"PLAN";"CASH F",#N/A,FALSE,"PLAN";"Bal S",#N/A,FALSE,"BALANCE SHEET";"Subs",#N/A,FALSE,"PLAN";"Dep",#N/A,FALSE,"PLAN";"Debt",#N/A,FALSE,"PLAN";"Sales",#N/A,FALSE,"PLAN";"FA",#N/A,FALSE,"PLAN";"Rev",#N/A,FALSE,"PLAN";"Exp",#N/A,FALSE,"PLAN"}</definedName>
    <definedName name="wrn.All._.Company._.Analyses."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Financials." hidden="1">{#N/A,#N/A,TRUE,"Assumptions";#N/A,#N/A,TRUE,"Op Projection";#N/A,#N/A,TRUE,"Capital";#N/A,#N/A,TRUE,"Income";#N/A,#N/A,TRUE,"Balance";#N/A,#N/A,TRUE,"Sources&amp;Uses"}</definedName>
    <definedName name="wrn.all._.input."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nalisi._.completa." hidden="1">{#N/A,#N/A,TRUE,"Stato Patrimoniale Civilistico";#N/A,#N/A,TRUE,"Conto Economico Civilistico";#N/A,#N/A,TRUE,"Riclassifica SP";#N/A,#N/A,TRUE,"Riclassifica CE";#N/A,#N/A,TRUE,"Indici di Bilancio";#N/A,#N/A,TRUE,"Composizione SP";#N/A,#N/A,TRUE,"Liquidità";#N/A,#N/A,TRUE,"Solidità";#N/A,#N/A,TRUE,"Redditività";#N/A,#N/A,TRUE,"Sviluppo"}</definedName>
    <definedName name="wrn.AQUIROR._.DCF." hidden="1">{"AQUIRORDCF",#N/A,FALSE,"Merger consequences";"Acquirorassns",#N/A,FALSE,"Merger consequences"}</definedName>
    <definedName name="wrn.Asia."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BackUp." hidden="1">{"Standard",#N/A,FALSE,"BackUp"}</definedName>
    <definedName name="wrn.BEL." hidden="1">{"IS",#N/A,FALSE,"IS";"RPTIS",#N/A,FALSE,"RPTIS";"STATS",#N/A,FALSE,"STATS";"CELL",#N/A,FALSE,"CELL";"BS",#N/A,FALSE,"BS"}</definedName>
    <definedName name="wrn.Bewegungsbilanz." hidden="1">{#N/A,#N/A,FALSE,"Mittelherkunft";#N/A,#N/A,FALSE,"Mittelverwendung"}</definedName>
    <definedName name="wrn.BewertungD." hidden="1">{"WACC",#N/A,FALSE,"Bewertung D&amp;Co";"DCF",#N/A,FALSE,"Bewertung D&amp;Co";"Wert",#N/A,FALSE,"Bewertung D&amp;Co";"Investitionen",#N/A,FALSE,"Cash D&amp;Co";"EBIT",#N/A,FALSE,"Cash D&amp;Co";"Cash Flow",#N/A,FALSE,"Cash D&amp;Co";"FCF",#N/A,FALSE,"Cash D&amp;Co";"EBIT Multiplier",#N/A,FALSE,"EBIT-Multiplier";"Branchen Beta",#N/A,FALSE,"Branchen-Beta";"Dax Rendite",#N/A,FALSE,"DAX-Rendite";"Bu Rendite",#N/A,FALSE,"Bu-Anl-Rendite"}</definedName>
    <definedName name="wrn.Bilanz." hidden="1">{#N/A,#N/A,FALSE,"Layout Aktiva";#N/A,#N/A,FALSE,"Layout Passiva"}</definedName>
    <definedName name="wrn.Bilanzen_GuV_Memo." hidden="1">{"Aktiva_Gittelde",#N/A,TRUE,"Bilanz-Gittelde";"Liabilities_gittelde",#N/A,TRUE,"Bilanz-Gittelde";"GuV_Gittelde",#N/A,TRUE,"GuV-Gittelde";"Aktiva Dresden",#N/A,TRUE,"Bilanz-Dresden";"Passiva Dresden",#N/A,TRUE,"Bilanz-Dresden";"guv Dresden",#N/A,TRUE,"Guv-Dresden";"FPC_Aktiva_hist",#N/A,TRUE,"Bilanz-FPC-D&amp;Co";"FPC_Passiva_hist",#N/A,TRUE,"Bilanz-FPC-D&amp;Co";"FPC_Aktiva_Plan",#N/A,TRUE,"Bilanz-FPC-D&amp;Co";"FPC_Passiva_Plan",#N/A,TRUE,"Bilanz-FPC-D&amp;Co";"FPC_GuV_hist",#N/A,TRUE,"GuV-FPC";"FPC_GuV_Plan",#N/A,TRUE,"GuV-FPC"}</definedName>
    <definedName name="wrn.BPlan." hidden="1">{#N/A,#N/A,FALSE,"F_Plan";#N/A,#N/A,FALSE,"Parameter"}</definedName>
    <definedName name="wrn.BU98_01E." hidden="1">{#N/A,#N/A,FALSE,"1";#N/A,#N/A,FALSE,"2";#N/A,#N/A,FALSE,"3";#N/A,#N/A,FALSE,"4";#N/A,#N/A,FALSE,"5";#N/A,#N/A,FALSE,"6";#N/A,#N/A,FALSE,"7";#N/A,#N/A,FALSE,"8";#N/A,#N/A,FALSE,"9";#N/A,#N/A,FALSE,"10";#N/A,#N/A,FALSE,"11";#N/A,#N/A,FALSE,"12";#N/A,#N/A,FALSE,"13";#N/A,#N/A,FALSE,"14";#N/A,#N/A,FALSE,"15";#N/A,#N/A,FALSE,"A1";#N/A,#N/A,FALSE,"A2";#N/A,#N/A,FALSE,"A3"}</definedName>
    <definedName name="wrn.Budget9596." hidden="1">{"Budget9596",#N/A,TRUE,"KSTGES.XLS";"Budget9596",#N/A,TRUE,"KST10.XLS";"Budget9596",#N/A,TRUE,"KST11.XLS";"Budget9596",#N/A,TRUE,"KST12.XLS";"Budget9596",#N/A,TRUE,"KST15.XLS";"Budget9596",#N/A,TRUE,"KST20.XLS";"Budget9596",#N/A,TRUE,"KST25.XLS";"Budget9596",#N/A,TRUE,"KST30.XLS";"Budget9596",#N/A,TRUE,"KST40.XLS";"Budget9596",#N/A,TRUE,"KST41.XLS";"Budget9596",#N/A,TRUE,"KST45.XLS";"Budget9596",#N/A,TRUE,"KST50.XLS";"Budget9596",#N/A,TRUE,"KST60.XLS";"Budget9596",#N/A,TRUE,"KST61.XLS";"Budget9596",#N/A,TRUE,"KST65.XLS";"Budget9596",#N/A,TRUE,"KST70.XLS";"Budget9596",#N/A,TRUE,"KST80.XLS";"Budget9596",#N/A,TRUE,"KST90.XLS"}</definedName>
    <definedName name="wrn.Budgetvergleich." hidden="1">{"Budgetvergleich",#N/A,TRUE,"KSTGES.XLS";"Budgetvergleich",#N/A,TRUE,"KST10.XLS";"Budgetvergleich",#N/A,TRUE,"KST11.XLS";"Budgetvergleich",#N/A,TRUE,"KST12.XLS";"Budgetvergleich",#N/A,TRUE,"KST15.XLS";"Budgetvergleich",#N/A,TRUE,"KST20.XLS";"Budgetvergleich",#N/A,TRUE,"KST25.XLS";"Budgetvergleich",#N/A,TRUE,"KST30.XLS";"Budgetvergleich",#N/A,TRUE,"KST40.XLS";"Budgetvergleich",#N/A,TRUE,"KST41.XLS";"Budgetvergleich",#N/A,TRUE,"KST45.XLS";"Budgetvergleich",#N/A,TRUE,"KST50.XLS";"Budgetvergleich",#N/A,TRUE,"KST60.XLS";"Budgetvergleich",#N/A,TRUE,"KST61.XLS";"Budgetvergleich",#N/A,TRUE,"KST65.XLS";"Budgetvergleich",#N/A,TRUE,"KST70.XLS";"Budgetvergleich",#N/A,TRUE,"KST80.XLS";"Budgetvergleich",#N/A,TRUE,"KST90.XLS"}</definedName>
    <definedName name="wrn.Buildups." hidden="1">{"ACQ",#N/A,FALSE,"ACQUISITIONS";"ACQF",#N/A,FALSE,"ACQUISITIONS";"PF",#N/A,FALSE,"PROYECTOVILA";"PV",#N/A,FALSE,"PROYECTOVILA";"Fee Dev",#N/A,FALSE,"DEVELOPMENT GROWTH";"gd",#N/A,FALSE,"DEVELOPMENT GROWTH"}</definedName>
    <definedName name="wrn.Cash._.Flow." hidden="1">{#N/A,#N/A,FALSE,"Layout Cash Flow"}</definedName>
    <definedName name="wrn.Cider." hidden="1">{#N/A,#N/A,FALSE,"Cider Segment";#N/A,#N/A,FALSE,"Bulmers";#N/A,#N/A,FALSE,"Ritz";#N/A,#N/A,FALSE,"Stag";#N/A,#N/A,FALSE,"Cider Others"}</definedName>
    <definedName name="wrn.compco." hidden="1">{"mult96",#N/A,FALSE,"PETCOMP";"est96",#N/A,FALSE,"PETCOMP";"mult95",#N/A,FALSE,"PETCOMP";"est95",#N/A,FALSE,"PETCOMP";"multltm",#N/A,FALSE,"PETCOMP";"resultltm",#N/A,FALSE,"PETCOMP"}</definedName>
    <definedName name="wrn.compco2" hidden="1">{"mult96",#N/A,FALSE,"PETCOMP";"est96",#N/A,FALSE,"PETCOMP";"mult95",#N/A,FALSE,"PETCOMP";"est95",#N/A,FALSE,"PETCOMP";"multltm",#N/A,FALSE,"PETCOMP";"resultltm",#N/A,FALSE,"PETCOMP"}</definedName>
    <definedName name="wrn.Consolidated._.Set." hidden="1">{"Consolidated IS w Ratios",#N/A,FALSE,"Consolidated";"Consolidated CF",#N/A,FALSE,"Consolidated";"Consolidated DCF",#N/A,FALSE,"Consolidated"}</definedName>
    <definedName name="wrn.contribution." hidden="1">{#N/A,#N/A,FALSE,"Contribution Analysis"}</definedName>
    <definedName name="wrn.Cover." hidden="1">{"coverall",#N/A,FALSE,"Definitions";"cover1",#N/A,FALSE,"Definitions";"cover2",#N/A,FALSE,"Definitions";"cover3",#N/A,FALSE,"Definitions";"cover4",#N/A,FALSE,"Definitions";"cover5",#N/A,FALSE,"Definitions";"blank",#N/A,FALSE,"Definitions"}</definedName>
    <definedName name="wrn.CRT." hidden="1">{#N/A,#N/A,TRUE,"Title Sheet";#N/A,#N/A,TRUE,"Contents";#N/A,#N/A,TRUE,"Scenarios";#N/A,#N/A,TRUE,"WACC";#N/A,#N/A,TRUE,"Valuation-PERPETUITY";#N/A,#N/A,TRUE,"IS - Conso";#N/A,#N/A,TRUE,"IS - Conso (US$ '95)";#N/A,#N/A,TRUE,"Cash Flow - Conso";#N/A,#N/A,TRUE,"Cash Flow - Conso (US$'95)";#N/A,#N/A,TRUE,"BS - Conso";#N/A,#N/A,TRUE,"BS - Conso (US$'95)";#N/A,#N/A,TRUE,"Macro Assumptions";#N/A,#N/A,TRUE,"Supply assumptions";#N/A,#N/A,TRUE,"Tariffs-Elasticities (FIXED)";#N/A,#N/A,TRUE,"Fixed - Revenues";#N/A,#N/A,TRUE,"Cellular - Revenues";#N/A,#N/A,TRUE,"Fixed - OPEX";#N/A,#N/A,TRUE,"Cellular - OPEX";#N/A,#N/A,TRUE,"Fixed - CAPEX";#N/A,#N/A,TRUE," mobile - CAPEX ";#N/A,#N/A,TRUE,"Debt ";#N/A,#N/A,TRUE,"Taxes";#N/A,#N/A,TRUE,"Dividends";#N/A,#N/A,TRUE,"Net WC";#N/A,#N/A,TRUE,"Ratios";#N/A,#N/A,TRUE,"Ratios IS-Conso";#N/A,#N/A,TRUE,"Ratios BS - Conso";#N/A,#N/A,TRUE,"Proforma - Fixed";#N/A,#N/A,TRUE,"Proforma- Cellular"}</definedName>
    <definedName name="wrn.csc." hidden="1">{"orixcsc",#N/A,FALSE,"ORIX CSC";"orixcsc2",#N/A,FALSE,"ORIX CSC"}</definedName>
    <definedName name="wrn.CSC2" hidden="1">{"page1",#N/A,TRUE,"CSC";"page2",#N/A,TRUE,"CSC"}</definedName>
    <definedName name="wrn.csc2." hidden="1">{#N/A,#N/A,FALSE,"ORIX CSC"}</definedName>
    <definedName name="wrn.database." hidden="1">{"subs",#N/A,FALSE,"database ";"proportional",#N/A,FALSE,"database "}</definedName>
    <definedName name="wrn.DCF." hidden="1">{"DCF1",#N/A,FALSE,"SIERRA DCF";"MATRIX1",#N/A,FALSE,"SIERRA DCF"}</definedName>
    <definedName name="wrn.DCF_Terminal_Value_qchm." hidden="1">{"qchm_dcf",#N/A,FALSE,"QCHMDCF2";"qchm_terminal",#N/A,FALSE,"QCHMDCF2"}</definedName>
    <definedName name="wrn.detail." hidden="1">{"Build1",#N/A,FALSE,"Buildup";"Build2",#N/A,FALSE,"Buildup";"Build3",#N/A,FALSE,"Buildup"}</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conomic._.Value._.Added._.Analysis." hidden="1">{"EVA",#N/A,FALSE,"EVA";"WACC",#N/A,FALSE,"WACC"}</definedName>
    <definedName name="wrn.Employee._.Efficiency." hidden="1">{"Employee Efficiency",#N/A,FALSE,"Benchmarking"}</definedName>
    <definedName name="wrn.Europe."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wrn.Europe._.Base." hidden="1">{"Eur Base Top",#N/A,FALSE,"Europe Base";"Eur Base Bottom",#N/A,FALSE,"Europe Base"}</definedName>
    <definedName name="wrn.Europe._.Set." hidden="1">{"IS w Ratios",#N/A,FALSE,"Europe";"PF CF Europe",#N/A,FALSE,"Europe";"DCF Eur Matrix",#N/A,FALSE,"Europe"}</definedName>
    <definedName name="wrn.Everything."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xports." hidden="1">{#N/A,#N/A,FALSE,"Exports";#N/A,#N/A,FALSE,"Carolans";#N/A,#N/A,FALSE,"Irish Mist";#N/A,#N/A,FALSE,"Tullamore Dew";#N/A,#N/A,FALSE,"Other Brands Exports";#N/A,#N/A,FALSE,"Frangelico";#N/A,#N/A,FALSE,"Mondoro";#N/A,#N/A,FALSE,"Aperol";#N/A,#N/A,FALSE,"Others Exports"}</definedName>
    <definedName name="wrn.External." hidden="1">{"External_Annual_Income",#N/A,FALSE,"External";"External_Quarterly_Income",#N/A,FALSE,"External"}</definedName>
    <definedName name="wrn.Far._.East._.Set." hidden="1">{"IS FE with Ratios",#N/A,FALSE,"Far East";"PF CF Far East",#N/A,FALSE,"Far East";"DCF Far East Matrix",#N/A,FALSE,"Far East"}</definedName>
    <definedName name="wrn.fcb2" hidden="1">{"FCB_ALL",#N/A,FALSE,"FCB"}</definedName>
    <definedName name="wrn.FE._.Sensitivity." hidden="1">{"Far East Top",#N/A,FALSE,"FE Model";"Far East Mid",#N/A,FALSE,"FE Model";"Far East Base",#N/A,FALSE,"FE Model"}</definedName>
    <definedName name="wrn.financials." hidden="1">{"Bal Sht Wallace",#N/A,FALSE,"Wall BS";"Wall Cash Flow",#N/A,FALSE,"Wall CF Stmt";"Income Statement Wallace",#N/A,FALSE,"Wall Inc Stmt";"INc Statement Matt",#N/A,FALSE,"Moore Inc stmt";"Balance Sheets Matt",#N/A,FALSE,"Moore BS";"Cash Flow Statements Matt",#N/A,FALSE,"Moore CF Stmt"}</definedName>
    <definedName name="wrn.Financials_long." hidden="1">{"IS",#N/A,FALSE,"Financials2 (Expanded)";"bsa",#N/A,FALSE,"Financials2 (Expanded)";"BS",#N/A,FALSE,"Financials2 (Expanded)";"CF",#N/A,FALSE,"Financials2 (Expanded)"}</definedName>
    <definedName name="wrn.Finanzbedarfsrechnung." hidden="1">{#N/A,#N/A,FALSE,"Finanzbedarfsrechnung"}</definedName>
    <definedName name="wrn.Förster." hidden="1">{"GuVGmbH",#N/A,FALSE,"ratios";"BilanzGmbH",#N/A,FALSE,"ratios";"BilanzKG",#N/A,FALSE,"ratios";"GuVKG",#N/A,FALSE,"ratios"}</definedName>
    <definedName name="wrn.FOUR._.CASES." hidden="1">{"MODEL","ALL STOCK",FALSE,"CS First Boston Merger Model";"MODEL","ALL CASH",FALSE,"CS First Boston Merger Model";"MODEL","ALL CASH WITH EQUITY OFFERING",FALSE,"CS First Boston Merger Model";"MODEL","HALF CASH/HALF STOCK",FALSE,"CS First Boston Merger Model"}</definedName>
    <definedName name="wrn.Full." hidden="1">{"Comp1",#N/A,FALSE,"COMP";"Comp2",#N/A,FALSE,"COMP";"Comp3",#N/A,FALSE,"COMP";"Comp4",#N/A,FALSE,"COMP"}</definedName>
    <definedName name="wrn.Full._.model." hidden="1">{"landexbravo",#N/A,FALSE,"Land (ex Bravo)";"Schenker_HO",#N/A,FALSE,"Schenker HO";"Landincbravo",#N/A,FALSE,"Land + Bravo";"Logistics",#N/A,FALSE,"Logistics";"Airandsea",#N/A,FALSE,"Air &amp; Sea";"Schenkgroup",#N/A,FALSE,"Schenker Group";"RaabKarcher",#N/A,FALSE,"Raab Karcher";"Brenntag",#N/A,FALSE,"Brenntag";"Interfer",#N/A,FALSE,"Interfer";"F_S",#N/A,FALSE,"F&amp;S";"Full_line",#N/A,FALSE,"Wholesale";"Auto_S",#N/A,FALSE,"Auto_S";"Otherco",#N/A,FALSE,"Other co";"Centraladmin",#N/A,FALSE,"Central Ad";"Consol_adj",#N/A,FALSE,"Consol adj";"Summary98",#N/A,FALSE,"Summary";"Bravo",#N/A,FALSE,"Bravo";"Offerletter",#N/A,FALSE,"Offer letter 1";"Front sheet",#N/A,FALSE,"Comments"}</definedName>
    <definedName name="wrn.Full._.Monty." hidden="1">{"ROIC",#N/A,FALSE,"ROIC";"Graphs",#N/A,FALSE,"TY analysis";"fcf",#N/A,FALSE,"FCF";"Matrix_2004",#N/A,FALSE,"MATRIX(2004)";"matrix_2008",#N/A,FALSE,"MATRIX(2008)";"FS_Condensed",#N/A,FALSE,"Financial Statements2";"TAXES",#N/A,FALSE,"Taxes";"DEBT_INVEST",#N/A,FALSE,"Debt&amp;Investment Schedule";"Main_menu",#N/A,FALSE,"Main Menu"}</definedName>
    <definedName name="wrn.full._.report."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GL." hidden="1">{#N/A,#N/A,TRUE,"Auftragsstand Metall";#N/A,#N/A,TRUE,"Umsatz"}</definedName>
    <definedName name="wrn.Global._.CompCo." hidden="1">{"Outputs",#N/A,TRUE,"North America";"Outputs",#N/A,TRUE,"Europe";"Outputs",#N/A,TRUE,"Asia Pacific";"Outputs",#N/A,TRUE,"Latin America";"Outputs",#N/A,TRUE,"Wireless"}</definedName>
    <definedName name="wrn.GuV." hidden="1">{#N/A,#N/A,FALSE,"Layout GuV"}</definedName>
    <definedName name="wrn.GuV_Bilanz_10y." hidden="1">{"GuV_10y",#N/A,FALSE,"LocCur";"Stand_10y",#N/A,FALSE,"DM"}</definedName>
    <definedName name="wrn.Income._.Statement." hidden="1">{#N/A,#N/A,FALSE,"Report Print"}</definedName>
    <definedName name="wrn.Inputs." hidden="1">{"Inputs",#N/A,TRUE,"North America";"Inputs",#N/A,TRUE,"Europe";"Inputs",#N/A,TRUE,"Asia Pacific";"Inputs",#N/A,TRUE,"Latin America";"Inputs",#N/A,TRUE,"Wireless"}</definedName>
    <definedName name="wrn.Inputsheet_ProjectInput." hidden="1">{"ProjectInput",#N/A,FALSE,"INPUT-AREA"}</definedName>
    <definedName name="wrn.international." hidden="1">{"sweden",#N/A,FALSE,"Sweden";"germany",#N/A,FALSE,"Germany";"portugal",#N/A,FALSE,"Portugal";"belgium",#N/A,FALSE,"Belgium";"japan",#N/A,FALSE,"Japan ";"italy",#N/A,FALSE,"Italy";"spain",#N/A,FALSE,"Spain";"korea",#N/A,FALSE,"Korea"}</definedName>
    <definedName name="wrn.Invest._.mit._.Steuern." hidden="1">{"Invest mit Steuern",#N/A,FALSE,"Rg."}</definedName>
    <definedName name="wrn.Invest._.ohne._.Steuern." hidden="1">{"Invest ohne Steuern",#N/A,FALSE,"Rg."}</definedName>
    <definedName name="wrn.Italy." hidden="1">{#N/A,#N/A,FALSE,"Italy";#N/A,#N/A,FALSE,"Aperol Italy";#N/A,#N/A,FALSE,"Aperol Soda Italy";#N/A,#N/A,FALSE,"Spumanti";#N/A,#N/A,FALSE,"Barbieri Liqueur Italy";#N/A,#N/A,FALSE,"Others Italy"}</definedName>
    <definedName name="wrn.JG._.FE._.Dollar." hidden="1">{"JG FE Top",#N/A,FALSE,"JG FE $";"JG FE Bottom",#N/A,FALSE,"JG FE $"}</definedName>
    <definedName name="wrn.JG._.FE._.Yen." hidden="1">{"JG FE Top",#N/A,FALSE,"JG FE ¥";"JG FE Bottom",#N/A,FALSE,"JG FE ¥"}</definedName>
    <definedName name="wrn.Komplettausdruck." hidden="1">{#N/A,#N/A,FALSE,"Layout Aktiva";#N/A,#N/A,FALSE,"Layout Passiva";#N/A,#N/A,FALSE,"Layout GuV";#N/A,#N/A,FALSE,"Layout Cash Flow";#N/A,#N/A,FALSE,"Mittelherkunft";#N/A,#N/A,FALSE,"Mittelverwendung";#N/A,#N/A,FALSE,"Finanzbedarfsrechnung"}</definedName>
    <definedName name="wrn.lbo." hidden="1">{"a",#N/A,FALSE,"LBO - 100%, No Sales";"aa",#N/A,FALSE,"LBO - 100%, No Sales";"aaa",#N/A,FALSE,"LBO - 100%, No Sales";"aaaa",#N/A,FALSE,"LBO - 100%, No Sales";"aaaaa",#N/A,FALSE,"LBO - 100%, No Sales";"aaaaaa",#N/A,FALSE,"LBO - 100%, No Sales";"aaaaaaa",#N/A,FALSE,"LBO - 100%, No Sales";"aaaaaaaa",#N/A,FALSE,"LBO - 100%, No Sales"}</definedName>
    <definedName name="wrn.lbo2."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rn.lbo3." hidden="1">{"a",#N/A,FALSE,"LBO - 100%, Sell C,CT 98......";"aa",#N/A,FALSE,"LBO - 100%, Sell C,CT 98......";"aaa",#N/A,FALSE,"LBO - 100%, Sell C,CT 98......";"aaaa",#N/A,FALSE,"LBO - 100%, Sell C,CT 98......";"aaaaa",#N/A,FALSE,"LBO - 100%, Sell C,CT 98......";"aaaaaa",#N/A,FALSE,"LBO - 100%, Sell C,CT 98......"}</definedName>
    <definedName name="wrn.Line._.Efficiency." hidden="1">{"Line Efficiency",#N/A,FALSE,"Benchmarking"}</definedName>
    <definedName name="wrn.Master_Income." hidden="1">{"Annual_Income",#N/A,FALSE,"Master Model";"Quarterly_Income",#N/A,FALSE,"Master Model"}</definedName>
    <definedName name="wrn.MERGER._.PLANS." hidden="1">{"Assumptions1",#N/A,FALSE,"Assumptions";"MergerPlans1","20yearamort",FALSE,"MergerPlans";"MergerPlans1","40yearamort",FALSE,"MergerPlans";"MergerPlans2",#N/A,FALSE,"MergerPlans";"inputs",#N/A,FALSE,"MergerPlans"}</definedName>
    <definedName name="wrn.NA._.Model._.T._.and._.B." hidden="1">{"NA Top",#N/A,FALSE,"NA Model";"NA Bottom",#N/A,FALSE,"NA Model"}</definedName>
    <definedName name="wrn.NA_ULV._.Tand._.B." hidden="1">{"NA Top",#N/A,FALSE,"NA-ULV";"NA Bottom",#N/A,FALSE,"NA-ULV"}</definedName>
    <definedName name="wrn.Normal." hidden="1">{#N/A,#N/A,FALSE,"Market Values I";#N/A,#N/A,FALSE,"Market Values II";#N/A,#N/A,FALSE,"DT Shareholding";#N/A,#N/A,FALSE,"Purchase of Sprint1";#N/A,#N/A,FALSE,"Purchase of Sprint2";#N/A,#N/A,FALSE,"Financial Impact1";#N/A,#N/A,FALSE,"Financial Impact2";#N/A,#N/A,FALSE,"Financial Impact3";#N/A,#N/A,FALSE,"Flowback"}</definedName>
    <definedName name="wrn.North._.America._.Set." hidden="1">{"NA Is w Ratios",#N/A,FALSE,"North America";"PF CFlow NA",#N/A,FALSE,"North America";"NA DCF Matrix",#N/A,FALSE,"North America"}</definedName>
    <definedName name="wrn.OUTPUT." hidden="1">{"DCF","UPSIDE CASE",FALSE,"Sheet1";"DCF","BASE CASE",FALSE,"Sheet1";"DCF","DOWNSIDE CASE",FALSE,"Sheet1"}</definedName>
    <definedName name="wrn.PEWC1." hidden="1">{"Graphic",#N/A,TRUE,"Graphic"}</definedName>
    <definedName name="wrn.PHASE._.Financials." hidden="1">{"Ebit GuV",#N/A,FALSE,"EBIT";"Finanzbedarf1",#N/A,FALSE,"Finanzbedarf";"GuV",#N/A,FALSE,"1.GUV";"GuV Hist. 2",#N/A,FALSE,"1.GUV";"GuV Plan3",#N/A,FALSE,"1.GUV";"Bilanz Aktiva Hist",#N/A,FALSE,"2.Bilanz ";"Bilanz Passiva Hist",#N/A,FALSE,"2.Bilanz ";"Bilanz Aktiva Plan",#N/A,FALSE,"2.Bilanz ";"Bilanz Passiva Plan",#N/A,FALSE,"2.Bilanz ";"Personal Hist",#N/A,FALSE,"1.1.2. Personal";"Personal Plan",#N/A,FALSE,"1.1.2. Personal";"Umschalter AV",#N/A,FALSE,"2.2.Umschalter Anlagevermögen";"AV 93 95",#N/A,FALSE,"2.2.1.Anlagevermögen (Hist.)";"AV Plan 97 98",#N/A,FALSE,"2.2.2.AV Plan";"AV 95 97",#N/A,FALSE,"2.2.1.Anlagevermögen (Hist.)";"AV Plan 98 00",#N/A,FALSE,"2.2.2.AV Plan";"AV Plan 00 01",#N/A,FALSE,"2.2.2.AV Plan"}</definedName>
    <definedName name="wrn.Planung_Ebeling." hidden="1">{"Deckbl",#N/A,FALSE,"Deckblatt";"Eckzahlen",#N/A,FALSE,"Eckzahlen";"Bilanz",#N/A,FALSE,"Bilanz";"GuV",#N/A,FALSE,"GUV";"GuvScha_Wa",#N/A,FALSE,"GuvScha+Wa";"guvgi",#N/A,FALSE,"GuvGI";"guvdd",#N/A,FALSE,"GuvDD";#N/A,#N/A,FALSE,"Guv3D";"guvwaren",#N/A,FALSE,"GuvWaren";"guvbestückung",#N/A,FALSE,"GuvBestück";"guvprojek",#N/A,FALSE,"GuvProjek";"guvesr",#N/A,FALSE,"GuvESR";"investalt.",#N/A,FALSE,"Invest alt.";"aventw",#N/A,FALSE,"AV-Entw.";"personal",#N/A,FALSE,"Persaufw";"personal2",#N/A,FALSE,"Persaufw";"pmgerüst",#N/A,FALSE,"Preis-Mengen-Gerüst";"cflow1",#N/A,FALSE,"CashFlow";"cflow2",#N/A,FALSE,"CashFlow";"cflow3",#N/A,FALSE,"CashFlow";"FCF",#N/A,FALSE,"Unternehmensbewertung DCF";"WACC",#N/A,FALSE,"Unternehmensbewertung DCF";"Wert",#N/A,FALSE,"Unternehmensbewertung DCF"}</definedName>
    <definedName name="wrn.PrimeCo." hidden="1">{"print 1",#N/A,FALSE,"PrimeCo PCS";"print 2",#N/A,FALSE,"PrimeCo PCS";"valuation",#N/A,FALSE,"PrimeCo PCS"}</definedName>
    <definedName name="wrn.Print." hidden="1">{"vi1",#N/A,FALSE,"Financial Statements";"vi2",#N/A,FALSE,"Financial Statements";#N/A,#N/A,FALSE,"DCF"}</definedName>
    <definedName name="wrn.print._.all." hidden="1">{#N/A,#N/A,TRUE,"Introduction";#N/A,#N/A,TRUE,"DCR - TV";#N/A,#N/A,TRUE,"Summary";#N/A,#N/A,TRUE,"Valuation (5)";#N/A,#N/A,TRUE,"Valuation (2)";#N/A,#N/A,TRUE,"Valuation (3)";#N/A,#N/A,TRUE,"Valuation";#N/A,#N/A,TRUE,"Sensitivity Summary";#N/A,#N/A,TRUE,"Proforma Accounts";#N/A,#N/A,TRUE,"Traffic";#N/A,#N/A,TRUE,"Tariffs";#N/A,#N/A,TRUE,"Revenue";#N/A,#N/A,TRUE,"Costs";#N/A,#N/A,TRUE,"Financing Assumptions"}</definedName>
    <definedName name="wrn.Print._.Europe._.TandB." hidden="1">{"Print Top",#N/A,FALSE,"Europe Model";"Print Bottom",#N/A,FALSE,"Europe Model"}</definedName>
    <definedName name="wrn.Print._.FE._.T._.and._.B." hidden="1">{"Far East Top",#N/A,FALSE,"FE Model";"Far East Bottom",#N/A,FALSE,"FE Model"}</definedName>
    <definedName name="wrn.print._.pages." hidden="1">{#N/A,#N/A,FALSE,"Spain MKT";#N/A,#N/A,FALSE,"Assumptions";#N/A,#N/A,FALSE,"Adve";#N/A,#N/A,FALSE,"E-Commerce";#N/A,#N/A,FALSE,"Opex";#N/A,#N/A,FALSE,"P&amp;L";#N/A,#N/A,FALSE,"FCF &amp; DCF"}</definedName>
    <definedName name="wrn.print._.pages2." hidden="1">{#N/A,#N/A,FALSE,"Spain MKT";#N/A,#N/A,FALSE,"Assumptions";#N/A,#N/A,FALSE,"Adve";#N/A,#N/A,FALSE,"E-Commerce";#N/A,#N/A,FALSE,"Opex";#N/A,#N/A,FALSE,"P&amp;L";#N/A,#N/A,FALSE,"FCF &amp; DCF"}</definedName>
    <definedName name="wrn.print._.standalone." hidden="1">{"standalone1",#N/A,FALSE,"DCFBase";"standalone2",#N/A,FALSE,"DCFBase"}</definedName>
    <definedName name="wrn.Print_CSC." hidden="1">{"CSC_1",#N/A,FALSE,"CSC Outputs";"CSC_2",#N/A,FALSE,"CSC Outputs"}</definedName>
    <definedName name="wrn.Print_CSC2" hidden="1">{"CSC_1",#N/A,FALSE,"CSC Outputs";"CSC_2",#N/A,FALSE,"CSC Outputs"}</definedName>
    <definedName name="wrn.printall." hidden="1">{"projections1",#N/A,FALSE,"projections";"dcf2",#N/A,FALSE,"dcf";"dcf no profit sharing",#N/A,FALSE,"dcf no profit sharing";"avp1",#N/A,FALSE,"avp"}</definedName>
    <definedName name="wrn.ProMonte." hidden="1">{#N/A,#N/A,FALSE,"Assump";"view1",#N/A,FALSE,"P&amp;L";"view2",#N/A,FALSE,"P&amp;L";#N/A,#N/A,FALSE,"P&amp;L PERC";"view1",#N/A,FALSE,"BS";"view2",#N/A,FALSE,"BS";#N/A,#N/A,FALSE,"CF";#N/A,#N/A,FALSE,"Debt Rep";#N/A,#N/A,FALSE,"Ratios";#N/A,#N/A,FALSE,"adjusted BS";#N/A,#N/A,FALSE,"96-97 P&amp;L";#N/A,#N/A,FALSE,"96-97 BS"}</definedName>
    <definedName name="wrn.Prospetto." hidden="1">{"ProspettoImposte",#N/A,FALSE,"Prospetto imposte"}</definedName>
    <definedName name="wrn.r_d." hidden="1">{"costo totale",#N/A,FALSE,"Risorse e R&amp;D 5";"costi unitari",#N/A,FALSE,"Risorse e R&amp;D 5";"n° addetti",#N/A,FALSE,"Risorse e R&amp;D 5";#N/A,#N/A,FALSE,"Risorse e R&amp;D 5"}</definedName>
    <definedName name="wrn.ratios._.only." hidden="1">{"ratios2",#N/A,FALSE,"Ratios"}</definedName>
    <definedName name="wrn.Report_Page." hidden="1">{"Annual_Income",#N/A,FALSE,"Report Page";"Balance_Cash_Flow",#N/A,FALSE,"Report Page";"Quarterly_Income",#N/A,FALSE,"Report Page"}</definedName>
    <definedName name="wrn.Robuster." hidden="1">{#N/A,#N/A,TRUE,"Cover";#N/A,#N/A,TRUE,"Descr";#N/A,#N/A,TRUE,"Control (In)";#N/A,#N/A,TRUE,"Op Margin";#N/A,#N/A,TRUE,"Depn";#N/A,#N/A,TRUE,"Finance";#N/A,#N/A,TRUE,"Tax";#N/A,#N/A,TRUE,"P &amp; L";#N/A,#N/A,TRUE,"CFS";#N/A,#N/A,TRUE,"BS";#N/A,#N/A,TRUE,"DCF";#N/A,#N/A,TRUE,"Ratios"}</definedName>
    <definedName name="wrn.RR._.book." hidden="1">{"DCF1",#N/A,TRUE,"CC";"DCF2",#N/A,TRUE,"CC";"DCF3",#N/A,TRUE,"CC";#N/A,#N/A,TRUE,"LBO Analysis";"CC_overview",#N/A,TRUE,"CC";"RR_summary",#N/A,TRUE,"RR";"Contribution",#N/A,TRUE,"Contribution CC-RR";"CPE_merger_plan",#N/A,TRUE,"CC Merger Plan (CP&amp;E)";#N/A,#N/A,TRUE,"Break-Up";#N/A,#N/A,TRUE,"CC Merger Plan"}</definedName>
    <definedName name="wrn.sales." hidden="1">{"sales",#N/A,FALSE,"Sales";"sales existing",#N/A,FALSE,"Sales";"sales rd1",#N/A,FALSE,"Sales";"sales rd2",#N/A,FALSE,"Sales"}</definedName>
    <definedName name="wrn.Sapere." hidden="1">{"risultati",#N/A,FALSE,"Revenues";"ricavi advertising",#N/A,FALSE,"Revenues";"ricavi e-commerce",#N/A,FALSE,"Revenues";"ricavi fee for content",#N/A,FALSE,"Revenues";"costi infrastruttura",#N/A,FALSE,"Costi";"altri costi",#N/A,FALSE,"Costi";"conto economico",#N/A,FALSE,"Conto economico";"Flussi di cassa",#N/A,FALSE,"FCF"}</definedName>
    <definedName name="wrn.Scritture." hidden="1">{"Scritture",#N/A,FALSE,"Scritture"}</definedName>
    <definedName name="wrn.seperate_terminals." hidden="1">{"Terminal_1",#N/A,FALSE,"New CAPEX";"Terminal_2",#N/A,FALSE,"New CAPEX";"Terminal_3",#N/A,FALSE,"New CAPEX"}</definedName>
    <definedName name="wrn.SHORT." hidden="1">{"CREDIT STATISTICS",#N/A,FALSE,"STATS";"CF_AND_IS",#N/A,FALSE,"PLAN";"BALSHEET",#N/A,FALSE,"BALANCE SHEET"}</definedName>
    <definedName name="wrn.SKSCS1." hidden="1">{#N/A,#N/A,FALSE,"Antony Financials";#N/A,#N/A,FALSE,"Cowboy Financials";#N/A,#N/A,FALSE,"Combined";#N/A,#N/A,FALSE,"Valuematrix";#N/A,#N/A,FALSE,"DCFAntony";#N/A,#N/A,FALSE,"DCFCowboy";#N/A,#N/A,FALSE,"DCFCombined"}</definedName>
    <definedName name="wrn.Soft._.Drinks." hidden="1">{#N/A,#N/A,FALSE,"Soft Drinks";#N/A,#N/A,FALSE,"Club Soft";#N/A,#N/A,FALSE,"Club Mixers";#N/A,#N/A,FALSE,"TK";#N/A,#N/A,FALSE,"Cidona";#N/A,#N/A,FALSE,"Britvic";#N/A,#N/A,FALSE,"Mi Wadi";#N/A,#N/A,FALSE,"Pepsi";#N/A,#N/A,FALSE,"7UP";#N/A,#N/A,FALSE,"Schweppes";#N/A,#N/A,FALSE,"Wholesale";#N/A,#N/A,FALSE,"Other Soft Drinks"}</definedName>
    <definedName name="wrn.Standard." hidden="1">{"Financials",#N/A,FALSE,"Financials";"AVP",#N/A,FALSE,"AVP";"DCF",#N/A,FALSE,"DCF";"CSC",#N/A,FALSE,"CSC";"Deal_Comp",#N/A,FALSE,"DealComp"}</definedName>
    <definedName name="wrn.Standard_10y." hidden="1">{"Stand_10y",#N/A,FALSE,"LocCur";"Stand_10y",#N/A,FALSE,"DM"}</definedName>
    <definedName name="wrn.SUMMARY." hidden="1">{"Section 1",#N/A,TRUE,"Summary";"Section 2",#N/A,TRUE,"Summary";"Section 3",#N/A,TRUE,"Summary";"Section 4",#N/A,TRUE,"Summary"}</definedName>
    <definedName name="wrn.Summary_PL." hidden="1">{"profit and loss",#N/A,FALSE,"Summary";"revenues",#N/A,FALSE,"Summary";"COSTS",#N/A,FALSE,"Summary"}</definedName>
    <definedName name="wrn.SummaryPgs." hidden="1">{#N/A,#N/A,FALSE,"CreditStat";#N/A,#N/A,FALSE,"SPbrkup";#N/A,#N/A,FALSE,"MerSPsyn";#N/A,#N/A,FALSE,"MerSPwKCsyn";#N/A,#N/A,FALSE,"MerSPwKCsyn (2)";#N/A,#N/A,FALSE,"CreditStat (2)"}</definedName>
    <definedName name="wrn.TARGET._.DCF." hidden="1">{"targetdcf",#N/A,FALSE,"Merger consequences";"TARGETASSU",#N/A,FALSE,"Merger consequences";"TERMINAL VALUE",#N/A,FALSE,"Merger consequences"}</definedName>
    <definedName name="wrn.Tariff._.Analysis." hidden="1">{"Tarifica91",#N/A,FALSE,"Tariffs";"Tarifica92",#N/A,FALSE,"Tariffs";"Tarifica93",#N/A,FALSE,"Tariffs";"Tarifica94",#N/A,FALSE,"Tariffs";"Tarifica95",#N/A,FALSE,"Tariffs";"Tarifica96",#N/A,FALSE,"Tariffs"}</definedName>
    <definedName name="wrn.Tariff._.Comaprison." hidden="1">{"Tariff Comparison",#N/A,FALSE,"Benchmarking";"Tariff Comparison 2",#N/A,FALSE,"Benchmarking";"Tariff Comparison 3",#N/A,FALSE,"Benchmarking"}</definedName>
    <definedName name="wrn.Telstra._.Inputs." hidden="1">{"Inputs",#N/A,FALSE,"US_FL";"Inputs",#N/A,FALSE,"EUROPE_FL";"Inputs",#N/A,FALSE,"ASIA_FL"}</definedName>
    <definedName name="wrn.Telstra._.Output." hidden="1">{"Output",#N/A,FALSE,"US_FL";"Output",#N/A,FALSE,"EUROPE_FL";"Output",#N/A,FALSE,"ASIA_FL"}</definedName>
    <definedName name="wrn.test." hidden="1">{"test2",#N/A,TRUE,"Prices"}</definedName>
    <definedName name="wrn.Tutto." hidden="1">{"ProspettoImposte",#N/A,FALSE,"Prospetto imposte";"Scritture",#N/A,FALSE,"Scritture"}</definedName>
    <definedName name="wrn.Tweety." hidden="1">{#N/A,#N/A,FALSE,"A&amp;E";#N/A,#N/A,FALSE,"HighTop";#N/A,#N/A,FALSE,"JG";#N/A,#N/A,FALSE,"RI";#N/A,#N/A,FALSE,"woHT";#N/A,#N/A,FALSE,"woHT&amp;JG"}</definedName>
    <definedName name="wrn.Umsatz." hidden="1">{#N/A,#N/A,FALSE,"Umsatz";#N/A,#N/A,FALSE,"Base V.02";#N/A,#N/A,FALSE,"Charts"}</definedName>
    <definedName name="wrn.Upper._.Case."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wrn.USW." hidden="1">{"IS",#N/A,FALSE,"IS";"RPTIS",#N/A,FALSE,"RPTIS";"STATS",#N/A,FALSE,"STATS";"BS",#N/A,FALSE,"BS"}</definedName>
    <definedName name="wrn.valderrama." hidden="1">{"valderrama1",#N/A,FALSE,"Pro Forma";"valderrama",#N/A,FALSE,"Pro Forma"}</definedName>
    <definedName name="wrn.valuation." hidden="1">{#N/A,#N/A,FALSE,"Valuation";#N/A,#N/A,FALSE,"Valuation (5)";#N/A,#N/A,FALSE,"Valuation (2)";#N/A,#N/A,FALSE,"Valuation (3)"}</definedName>
    <definedName name="wrn.Valuation._.Package._.1." hidden="1">{"Balance Sheet",#N/A,FALSE,"Balance Sheet";"Sum Cash Flow",#N/A,FALSE,"Sum Cash Flow";"Income Statement 1",#N/A,FALSE,"Income Statement 1";"DCF Projections",#N/A,FALSE,"DCF Projections";"DCF1",#N/A,FALSE,"DCF1";"AVP",#N/A,FALSE,"AVP";"CalcWorksheet",#N/A,FALSE,"Calc Wksht New";"PV of Future Prices",#N/A,FALSE,"Fut Share Price - New EPS";"FutureSharePrices",#N/A,FALSE,"Future Share Prices"}</definedName>
    <definedName name="wrn.Valuation._.Summary." hidden="1">{#N/A,#N/A,FALSE,"Summary";#N/A,#N/A,FALSE,"Base Materials";#N/A,#N/A,FALSE,"Construction";#N/A,#N/A,FALSE,"Packaging";#N/A,#N/A,FALSE,"Transportation"}</definedName>
    <definedName name="wrn.Wacc." hidden="1">{"Area1",#N/A,FALSE,"OREWACC";"Area2",#N/A,FALSE,"OREWACC"}</definedName>
    <definedName name="wrn.Wacc.1" hidden="1">{"Area1",#N/A,FALSE,"OREWACC";"Area2",#N/A,FALSE,"OREWACC"}</definedName>
    <definedName name="wrn.Water." hidden="1">{#N/A,#N/A,FALSE,"Water";#N/A,#N/A,FALSE,"Ballygowan";#N/A,#N/A,FALSE,"Volvic"}</definedName>
    <definedName name="wrn.whole._.document." hidden="1">{"page 1",#N/A,FALSE,"A";"page 2",#N/A,FALSE,"A";"page 3",#N/A,FALSE,"A";"page 4",#N/A,FALSE,"A";"page 5",#N/A,FALSE,"A";"page 6",#N/A,FALSE,"A";"page 7",#N/A,FALSE,"A";"page 8",#N/A,FALSE,"A";"page 9",#N/A,FALSE,"A";"page 10",#N/A,FALSE,"A";"page 11",#N/A,FALSE,"A";"page 12",#N/A,FALSE,"A";"page 13",#N/A,FALSE,"A";"page 14",#N/A,FALSE,"A"}</definedName>
    <definedName name="wrn.WholeShabang." hidden="1">{"QIncStmt",#N/A,FALSE,"Quarter Inc St";"QGrthNMrgn",#N/A,FALSE,"Quarter Inc St";"SummIncStmt",#N/A,FALSE,"Income Statement";"BalanceSheet",#N/A,FALSE,"Balance Sheet";"SumCashFlow",#N/A,FALSE,"Sum Cash Flow";"DCFProjections",#N/A,FALSE,"DCF Projections";"CalcWorksheet",#N/A,FALSE,"Calc Wksht New";"DCFPresent Value",#N/A,FALSE,"DCF1";"FutureSharePrices",#N/A,FALSE,"Future Share Prices";"AVP",#N/A,FALSE,"AVP";"PV of Future Prices",#N/A,FALSE,"Fut Share Price - New EPS"}</definedName>
    <definedName name="wrn.WineSpirits." hidden="1">{#N/A,#N/A,FALSE,"W&amp;Spirits";#N/A,#N/A,FALSE,"Grants";#N/A,#N/A,FALSE,"CCB"}</definedName>
    <definedName name="wrn.Worksheets." hidden="1">{#N/A,#N/A,FALSE,"Base Materials";#N/A,#N/A,FALSE,"Construction";#N/A,#N/A,FALSE,"Packaging";#N/A,#N/A,FALSE,"Transportation"}</definedName>
    <definedName name="wrn.YTD." hidden="1">{"Chemical Division",#N/A,FALSE,"YTD";"Divisions",#N/A,FALSE,"YTD"}</definedName>
    <definedName name="wrn_eva" hidden="1">{"EVA",#N/A,FALSE,"EVA";"WACC",#N/A,FALSE,"WACC"}</definedName>
    <definedName name="wrn_otpt" hidden="1">{"DCF","UPSIDE CASE",FALSE,"Sheet1";"DCF","BASE CASE",FALSE,"Sheet1";"DCF","DOWNSIDE CASE",FALSE,"Sheet1"}</definedName>
    <definedName name="wrn1.Bewegungsbilanz" hidden="1">{#N/A,#N/A,FALSE,"Mittelherkunft";#N/A,#N/A,FALSE,"Mittelverwendung"}</definedName>
    <definedName name="wrn2.Bplan." hidden="1">{#N/A,#N/A,FALSE,"F_Plan";#N/A,#N/A,FALSE,"Parameter"}</definedName>
    <definedName name="wrwrwrwr" hidden="1">{"WACC",#N/A,FALSE,"Bewertung D&amp;Co";"DCF",#N/A,FALSE,"Bewertung D&amp;Co";"Wert",#N/A,FALSE,"Bewertung D&amp;Co";"Investitionen",#N/A,FALSE,"Cash D&amp;Co";"EBIT",#N/A,FALSE,"Cash D&amp;Co";"Cash Flow",#N/A,FALSE,"Cash D&amp;Co";"FCF",#N/A,FALSE,"Cash D&amp;Co";"EBIT Multiplier",#N/A,FALSE,"EBIT-Multiplier";"Branchen Beta",#N/A,FALSE,"Branchen-Beta";"Dax Rendite",#N/A,FALSE,"DAX-Rendite";"Bu Rendite",#N/A,FALSE,"Bu-Anl-Rendite"}</definedName>
    <definedName name="wvu.cash." hidden="1">{TRUE,TRUE,-1.25,-15.5,456.75,279.75,FALSE,FALSE,TRUE,TRUE,0,1,18,1,199,6,3,4,TRUE,TRUE,3,TRUE,1,TRUE,100,"Swvu.cash.","ACwvu.cash.",1,FALSE,FALSE,0.511811023622047,0.511811023622047,0.511811023622047,0.511811023622047,1,"","",FALSE,FALSE,FALSE,FALSE,1,#N/A,1,1,#DIV/0!,FALSE,"Rwvu.cash.",#N/A,FALSE,FALSE}</definedName>
    <definedName name="wvu.Page1." hidden="1">{TRUE,TRUE,-2,-16.25,774,494.25,FALSE,TRUE,TRUE,TRUE,0,1,#N/A,1,#N/A,27.1,63.6451612903226,1,FALSE,FALSE,3,TRUE,1,FALSE,75,"Swvu.Page1.","ACwvu.Page1.",#N/A,FALSE,FALSE,0.236220472440945,0.275590551181102,0.236220472440945,0.275590551181102,2,"","",TRUE,TRUE,FALSE,FALSE,1,83,#N/A,#N/A,"=R4C1:R64C22",FALSE,"Rwvu.Page1.","Cwvu.Page1.",FALSE,FALSE,TRUE,1,#N/A,#N/A,FALSE,FALSE,TRUE,TRUE,TRUE}</definedName>
    <definedName name="wvu.Page2." hidden="1">{TRUE,TRUE,-2,-16.25,774,494.25,FALSE,TRUE,TRUE,TRUE,0,6,#N/A,1,#N/A,33.1333333333333,63.6451612903226,1,FALSE,FALSE,3,TRUE,1,FALSE,75,"Swvu.Page2.","ACwvu.Page2.",#N/A,FALSE,FALSE,0.236220472440945,0.275590551181102,0.236220472440945,0.275590551181102,2,"","",TRUE,TRUE,FALSE,FALSE,1,83,#N/A,#N/A,"=R4C25:R64C47",FALSE,"Rwvu.Page2.","Cwvu.Page2.",FALSE,FALSE,TRUE,1,#N/A,#N/A,FALSE,FALSE,TRUE,TRUE,TRUE}</definedName>
    <definedName name="wvu.Page3." hidden="1">{TRUE,TRUE,-2,-16.25,774,494.25,FALSE,TRUE,TRUE,TRUE,0,32,#N/A,1,#N/A,31.0666666666667,63.6451612903226,1,FALSE,FALSE,3,TRUE,1,FALSE,75,"Swvu.Page3.","ACwvu.Page3.",#N/A,FALSE,FALSE,0.236220472440945,0.275590551181102,0.236220472440945,0.275590551181102,2,"","",TRUE,TRUE,FALSE,FALSE,1,83,#N/A,#N/A,"=R4C48:R64C71",FALSE,"Rwvu.Page3.","Cwvu.Page3.",FALSE,FALSE,TRUE,1,#N/A,#N/A,FALSE,FALSE,TRUE,TRUE,TRUE}</definedName>
    <definedName name="wvu.Page4." hidden="1">{TRUE,TRUE,-2,-16.25,774,494.25,FALSE,TRUE,TRUE,TRUE,0,70,#N/A,1,#N/A,28.5666666666667,63.6451612903226,1,FALSE,FALSE,3,TRUE,1,FALSE,75,"Swvu.Page4.","ACwvu.Page4.",#N/A,FALSE,FALSE,0.236220472440945,0.275590551181102,0.236220472440945,0.275590551181102,2,"","",TRUE,TRUE,FALSE,FALSE,1,83,#N/A,#N/A,"=R4C72:R64C94",FALSE,"Rwvu.Page4.","Cwvu.Page4.",FALSE,FALSE,TRUE,1,#N/A,#N/A,FALSE,FALSE,TRUE,TRUE,TRUE}</definedName>
    <definedName name="wvu.profits." hidden="1">{TRUE,TRUE,-1.25,-15.5,456.75,279.75,FALSE,FALSE,TRUE,TRUE,0,1,21,1,127,6,3,4,TRUE,TRUE,3,TRUE,1,TRUE,100,"Swvu.profits.","ACwvu.profits.",1,FALSE,FALSE,0.511811023622047,0.511811023622047,0.511811023622047,0.511811023622047,1,"","",FALSE,FALSE,FALSE,FALSE,1,#N/A,1,1,#DIV/0!,FALSE,"Rwvu.profits.",#N/A,FALSE,FALSE}</definedName>
    <definedName name="wvu.turnover." hidden="1">{TRUE,TRUE,-1.25,-15.5,456.75,279.75,FALSE,FALSE,TRUE,TRUE,0,1,8,1,4,6,3,4,TRUE,TRUE,3,TRUE,1,TRUE,100,"Swvu.turnover.","ACwvu.turnover.",1,FALSE,FALSE,0.511811023622047,0.511811023622047,0.511811023622047,0.511811023622047,1,"","",FALSE,FALSE,FALSE,FALSE,1,#N/A,1,1,#DIV/0!,FALSE,"Rwvu.turnover.",#N/A,FALSE,FALSE}</definedName>
    <definedName name="WW" hidden="1">{"'WEB azoc prov'!$B$85:$L$123"}</definedName>
    <definedName name="wwefwefwfe" hidden="1">{"Deckbl",#N/A,FALSE,"Deckblatt";"Eckzahlen",#N/A,FALSE,"Eckzahlen";"Bilanz",#N/A,FALSE,"Bilanz";"GuV",#N/A,FALSE,"GUV";"GuvScha_Wa",#N/A,FALSE,"GuvScha+Wa";"guvgi",#N/A,FALSE,"GuvGI";"guvdd",#N/A,FALSE,"GuvDD";#N/A,#N/A,FALSE,"Guv3D";"guvwaren",#N/A,FALSE,"GuvWaren";"guvbestückung",#N/A,FALSE,"GuvBestück";"guvprojek",#N/A,FALSE,"GuvProjek";"guvesr",#N/A,FALSE,"GuvESR";"investalt.",#N/A,FALSE,"Invest alt.";"aventw",#N/A,FALSE,"AV-Entw.";"personal",#N/A,FALSE,"Persaufw";"personal2",#N/A,FALSE,"Persaufw";"pmgerüst",#N/A,FALSE,"Preis-Mengen-Gerüst";"cflow1",#N/A,FALSE,"CashFlow";"cflow2",#N/A,FALSE,"CashFlow";"cflow3",#N/A,FALSE,"CashFlow";"FCF",#N/A,FALSE,"Unternehmensbewertung DCF";"WACC",#N/A,FALSE,"Unternehmensbewertung DCF";"Wert",#N/A,FALSE,"Unternehmensbewertung DCF"}</definedName>
    <definedName name="www" hidden="1">{"DCF","UPSIDE CASE",FALSE,"Sheet1";"DCF","BASE CASE",FALSE,"Sheet1";"DCF","DOWNSIDE CASE",FALSE,"Sheet1"}</definedName>
    <definedName name="wwwwww" hidden="1">{"'WEB azoc prov'!$B$85:$L$123"}</definedName>
    <definedName name="x" hidden="1">{"Budget9596",#N/A,TRUE,"KSTGES.XLS";"Budget9596",#N/A,TRUE,"KST10.XLS";"Budget9596",#N/A,TRUE,"KST11.XLS";"Budget9596",#N/A,TRUE,"KST12.XLS";"Budget9596",#N/A,TRUE,"KST15.XLS";"Budget9596",#N/A,TRUE,"KST20.XLS";"Budget9596",#N/A,TRUE,"KST25.XLS";"Budget9596",#N/A,TRUE,"KST30.XLS";"Budget9596",#N/A,TRUE,"KST40.XLS";"Budget9596",#N/A,TRUE,"KST41.XLS";"Budget9596",#N/A,TRUE,"KST45.XLS";"Budget9596",#N/A,TRUE,"KST50.XLS";"Budget9596",#N/A,TRUE,"KST60.XLS";"Budget9596",#N/A,TRUE,"KST61.XLS";"Budget9596",#N/A,TRUE,"KST65.XLS";"Budget9596",#N/A,TRUE,"KST70.XLS";"Budget9596",#N/A,TRUE,"KST80.XLS";"Budget9596",#N/A,TRUE,"KST90.XLS"}</definedName>
    <definedName name="xx" hidden="1">{"Budgetvergleich",#N/A,TRUE,"KSTGES.XLS";"Budgetvergleich",#N/A,TRUE,"KST10.XLS";"Budgetvergleich",#N/A,TRUE,"KST11.XLS";"Budgetvergleich",#N/A,TRUE,"KST12.XLS";"Budgetvergleich",#N/A,TRUE,"KST15.XLS";"Budgetvergleich",#N/A,TRUE,"KST20.XLS";"Budgetvergleich",#N/A,TRUE,"KST25.XLS";"Budgetvergleich",#N/A,TRUE,"KST30.XLS";"Budgetvergleich",#N/A,TRUE,"KST40.XLS";"Budgetvergleich",#N/A,TRUE,"KST41.XLS";"Budgetvergleich",#N/A,TRUE,"KST45.XLS";"Budgetvergleich",#N/A,TRUE,"KST50.XLS";"Budgetvergleich",#N/A,TRUE,"KST60.XLS";"Budgetvergleich",#N/A,TRUE,"KST61.XLS";"Budgetvergleich",#N/A,TRUE,"KST65.XLS";"Budgetvergleich",#N/A,TRUE,"KST70.XLS";"Budgetvergleich",#N/A,TRUE,"KST80.XLS";"Budgetvergleich",#N/A,TRUE,"KST90.XLS"}</definedName>
    <definedName name="xxx" hidden="1">{"Area1",#N/A,FALSE,"OREWACC";"Area2",#N/A,FALSE,"OREWACC"}</definedName>
    <definedName name="XXXX"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xy" hidden="1">{#N/A,#N/A,FALSE,"Mittelherkunft";#N/A,#N/A,FALSE,"Mittelverwendung"}</definedName>
    <definedName name="yiopy" hidden="1">{"EVA",#N/A,FALSE,"EVA";"WACC",#N/A,FALSE,"WACC"}</definedName>
    <definedName name="yoi" hidden="1">{"sales",#N/A,FALSE,"Sales";"sales existing",#N/A,FALSE,"Sales";"sales rd1",#N/A,FALSE,"Sales";"sales rd2",#N/A,FALSE,"Sales"}</definedName>
    <definedName name="yop" hidden="1">{"vi1",#N/A,FALSE,"Financial Statements";"vi2",#N/A,FALSE,"Financial Statements";#N/A,#N/A,FALSE,"DCF"}</definedName>
    <definedName name="ytd" hidden="1">{"Acq_matrix",#N/A,FALSE,"Acquisition Matrix"}</definedName>
    <definedName name="ytus" hidden="1">{TRUE,TRUE,-2,-16.25,774,494.25,FALSE,TRUE,TRUE,TRUE,0,1,#N/A,1,#N/A,27.1,63.6451612903226,1,FALSE,FALSE,3,TRUE,1,FALSE,75,"Swvu.Page1.","ACwvu.Page1.",#N/A,FALSE,FALSE,0.236220472440945,0.275590551181102,0.236220472440945,0.275590551181102,2,"","",TRUE,TRUE,FALSE,FALSE,1,83,#N/A,#N/A,"=R4C1:R64C22",FALSE,"Rwvu.Page1.","Cwvu.Page1.",FALSE,FALSE,TRUE,1,#N/A,#N/A,FALSE,FALSE,TRUE,TRUE,TRUE}</definedName>
    <definedName name="yue" hidden="1">{"targetdcf",#N/A,FALSE,"Merger consequences";"TARGETASSU",#N/A,FALSE,"Merger consequences";"TERMINAL VALUE",#N/A,FALSE,"Merger consequences"}</definedName>
    <definedName name="yus" hidden="1">{"qchm_dcf",#N/A,FALSE,"QCHMDCF2";"qchm_terminal",#N/A,FALSE,"QCHMDCF2"}</definedName>
    <definedName name="za" hidden="1">{"'WEB azoc prov'!$B$85:$L$123"}</definedName>
    <definedName name="zaza" hidden="1">{"'WEB azoc prov'!$B$85:$L$123"}</definedName>
    <definedName name="zulizlizil" hidden="1">{"Ebit GuV",#N/A,FALSE,"EBIT";"Finanzbedarf1",#N/A,FALSE,"Finanzbedarf";"GuV",#N/A,FALSE,"1.GUV";"GuV Hist. 2",#N/A,FALSE,"1.GUV";"GuV Plan3",#N/A,FALSE,"1.GUV";"Bilanz Aktiva Hist",#N/A,FALSE,"2.Bilanz ";"Bilanz Passiva Hist",#N/A,FALSE,"2.Bilanz ";"Bilanz Aktiva Plan",#N/A,FALSE,"2.Bilanz ";"Bilanz Passiva Plan",#N/A,FALSE,"2.Bilanz ";"Personal Hist",#N/A,FALSE,"1.1.2. Personal";"Personal Plan",#N/A,FALSE,"1.1.2. Personal";"Umschalter AV",#N/A,FALSE,"2.2.Umschalter Anlagevermögen";"AV 93 95",#N/A,FALSE,"2.2.1.Anlagevermögen (Hist.)";"AV Plan 97 98",#N/A,FALSE,"2.2.2.AV Plan";"AV 95 97",#N/A,FALSE,"2.2.1.Anlagevermögen (Hist.)";"AV Plan 98 00",#N/A,FALSE,"2.2.2.AV Plan";"AV Plan 00 01",#N/A,FALSE,"2.2.2.AV Plan"}</definedName>
    <definedName name="zulzulzul" hidden="1">{"WACC",#N/A,FALSE,"Bewertung D&amp;Co";"DCF",#N/A,FALSE,"Bewertung D&amp;Co";"Wert",#N/A,FALSE,"Bewertung D&amp;Co";"Investitionen",#N/A,FALSE,"Cash D&amp;Co";"EBIT",#N/A,FALSE,"Cash D&amp;Co";"Cash Flow",#N/A,FALSE,"Cash D&amp;Co";"FCF",#N/A,FALSE,"Cash D&amp;Co";"EBIT Multiplier",#N/A,FALSE,"EBIT-Multiplier";"Branchen Beta",#N/A,FALSE,"Branchen-Beta";"Dax Rendite",#N/A,FALSE,"DAX-Rendite";"Bu Rendite",#N/A,FALSE,"Bu-Anl-Rendite"}</definedName>
    <definedName name="ZZ" hidden="1">{"'WEB azoc prov'!$B$85:$L$123"}</definedName>
    <definedName name="zzzzzzzqqqqq" hidden="1">{"ProspettoImposte",#N/A,FALSE,"Prospetto imposte";"Scritture",#N/A,FALSE,"Scritture"}</definedName>
    <definedName name="zzzzzzzzz" hidden="1">{"'WEB azoc prov'!$B$85:$L$123"}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35" i="182" l="1"/>
  <c r="F35" i="182" l="1"/>
  <c r="H10" i="186" l="1"/>
  <c r="L12" i="186"/>
  <c r="Q11" i="182" s="1"/>
  <c r="Q10" i="182"/>
  <c r="Q55" i="182"/>
  <c r="Q56" i="182"/>
  <c r="Q57" i="182"/>
  <c r="Q58" i="182"/>
  <c r="Q59" i="182"/>
  <c r="Q60" i="182"/>
  <c r="Q61" i="182"/>
  <c r="Q62" i="182"/>
  <c r="Q63" i="182"/>
  <c r="Q64" i="182"/>
  <c r="Q65" i="182"/>
  <c r="Q66" i="182"/>
  <c r="Q67" i="182"/>
  <c r="Q68" i="182"/>
  <c r="Q69" i="182"/>
  <c r="Q70" i="182"/>
  <c r="Q71" i="182"/>
  <c r="Q72" i="182"/>
  <c r="Q73" i="182"/>
  <c r="Q74" i="182"/>
  <c r="Q75" i="182"/>
  <c r="Q76" i="182"/>
  <c r="Q77" i="182"/>
  <c r="Q78" i="182"/>
  <c r="Q79" i="182"/>
  <c r="Q80" i="182"/>
  <c r="Q81" i="182"/>
  <c r="Q82" i="182"/>
  <c r="Q83" i="182"/>
  <c r="Q84" i="182"/>
  <c r="Q85" i="182"/>
  <c r="Q86" i="182"/>
  <c r="Q87" i="182"/>
  <c r="Q88" i="182"/>
  <c r="Q89" i="182"/>
  <c r="Q90" i="182"/>
  <c r="Q91" i="182"/>
  <c r="Q92" i="182"/>
  <c r="Q93" i="182"/>
  <c r="Q94" i="182"/>
  <c r="Q95" i="182"/>
  <c r="Q96" i="182"/>
  <c r="Q97" i="182"/>
  <c r="Q98" i="182"/>
  <c r="Q99" i="182"/>
  <c r="Q100" i="182"/>
  <c r="P56" i="182"/>
  <c r="P57" i="182"/>
  <c r="P58" i="182"/>
  <c r="P59" i="182"/>
  <c r="P60" i="182"/>
  <c r="P61" i="182"/>
  <c r="P62" i="182"/>
  <c r="P63" i="182"/>
  <c r="P64" i="182"/>
  <c r="P65" i="182"/>
  <c r="P66" i="182"/>
  <c r="P67" i="182"/>
  <c r="P68" i="182"/>
  <c r="P69" i="182"/>
  <c r="P70" i="182"/>
  <c r="P71" i="182"/>
  <c r="P72" i="182"/>
  <c r="P73" i="182"/>
  <c r="P74" i="182"/>
  <c r="P75" i="182"/>
  <c r="P76" i="182"/>
  <c r="P77" i="182"/>
  <c r="P78" i="182"/>
  <c r="P79" i="182"/>
  <c r="P80" i="182"/>
  <c r="P81" i="182"/>
  <c r="P82" i="182"/>
  <c r="P83" i="182"/>
  <c r="P84" i="182"/>
  <c r="P85" i="182"/>
  <c r="P86" i="182"/>
  <c r="P87" i="182"/>
  <c r="P88" i="182"/>
  <c r="P89" i="182"/>
  <c r="P90" i="182"/>
  <c r="P91" i="182"/>
  <c r="P92" i="182"/>
  <c r="P93" i="182"/>
  <c r="P94" i="182"/>
  <c r="P95" i="182"/>
  <c r="P96" i="182"/>
  <c r="P97" i="182"/>
  <c r="P98" i="182"/>
  <c r="P99" i="182"/>
  <c r="P100" i="182"/>
  <c r="P55" i="182"/>
  <c r="P35" i="182"/>
  <c r="P11" i="182"/>
  <c r="P10" i="182"/>
  <c r="H34" i="186"/>
  <c r="L22" i="186"/>
  <c r="K22" i="186"/>
  <c r="H18" i="186"/>
  <c r="L15" i="186"/>
  <c r="Q14" i="182" s="1"/>
  <c r="P13" i="182"/>
  <c r="L13" i="186"/>
  <c r="Q12" i="182" s="1"/>
  <c r="R7" i="186"/>
  <c r="AI6" i="182"/>
  <c r="AJ6" i="182" s="1"/>
  <c r="AL6" i="182" s="1"/>
  <c r="AE6" i="182"/>
  <c r="AF6" i="182" s="1"/>
  <c r="AG6" i="182" s="1"/>
  <c r="I18" i="186" l="1"/>
  <c r="K18" i="186"/>
  <c r="L18" i="186" s="1"/>
  <c r="I34" i="186"/>
  <c r="K34" i="186"/>
  <c r="L34" i="186" s="1"/>
  <c r="S7" i="186"/>
  <c r="U7" i="186"/>
  <c r="W7" i="186" s="1"/>
  <c r="I10" i="186"/>
  <c r="K10" i="186"/>
  <c r="L10" i="186" s="1"/>
  <c r="P14" i="182"/>
  <c r="P12" i="182"/>
  <c r="L14" i="186"/>
  <c r="Q13" i="182" s="1"/>
  <c r="O9" i="182"/>
  <c r="P9" i="182" s="1"/>
  <c r="Q9" i="182" l="1"/>
  <c r="O130" i="182" l="1"/>
  <c r="AI5" i="182" s="1"/>
  <c r="H130" i="182"/>
  <c r="AE5" i="182" s="1"/>
  <c r="O131" i="182" l="1"/>
  <c r="P131" i="182" s="1"/>
  <c r="Q131" i="182" s="1"/>
  <c r="H131" i="182"/>
  <c r="I131" i="182" s="1"/>
  <c r="J131" i="182" s="1"/>
  <c r="O104" i="182"/>
  <c r="P104" i="182" s="1"/>
  <c r="Q104" i="182" s="1"/>
  <c r="H104" i="182"/>
  <c r="I104" i="182" s="1"/>
  <c r="J104" i="182" s="1"/>
  <c r="O17" i="182"/>
  <c r="P17" i="182" s="1"/>
  <c r="Q17" i="182" s="1"/>
  <c r="H17" i="182"/>
  <c r="I17" i="182" s="1"/>
  <c r="J17" i="182" s="1"/>
  <c r="H9" i="182"/>
  <c r="I9" i="182" s="1"/>
  <c r="J9" i="182" s="1"/>
  <c r="O32" i="182"/>
  <c r="P32" i="182" s="1"/>
  <c r="Q32" i="182" s="1"/>
  <c r="H32" i="182"/>
  <c r="I32" i="182" s="1"/>
  <c r="J32" i="182" s="1"/>
  <c r="P36" i="182" l="1"/>
  <c r="Q36" i="182"/>
  <c r="O51" i="185" s="1"/>
  <c r="C239" i="185"/>
  <c r="AF235" i="185"/>
  <c r="AF234" i="185"/>
  <c r="AB234" i="185"/>
  <c r="AA234" i="185"/>
  <c r="Z234" i="185"/>
  <c r="Y234" i="185"/>
  <c r="X234" i="185"/>
  <c r="W234" i="185"/>
  <c r="V234" i="185"/>
  <c r="U234" i="185"/>
  <c r="T234" i="185"/>
  <c r="S234" i="185"/>
  <c r="R234" i="185"/>
  <c r="Q234" i="185"/>
  <c r="P234" i="185"/>
  <c r="L234" i="185"/>
  <c r="K234" i="185"/>
  <c r="J234" i="185"/>
  <c r="I234" i="185"/>
  <c r="H234" i="185"/>
  <c r="G234" i="185"/>
  <c r="F234" i="185"/>
  <c r="E234" i="185"/>
  <c r="D234" i="185"/>
  <c r="AF233" i="185"/>
  <c r="AB233" i="185"/>
  <c r="AA233" i="185"/>
  <c r="Z233" i="185"/>
  <c r="Y233" i="185"/>
  <c r="X233" i="185"/>
  <c r="W233" i="185"/>
  <c r="V233" i="185"/>
  <c r="U233" i="185"/>
  <c r="T233" i="185"/>
  <c r="S233" i="185"/>
  <c r="R233" i="185"/>
  <c r="Q233" i="185"/>
  <c r="P233" i="185"/>
  <c r="O233" i="185"/>
  <c r="N233" i="185"/>
  <c r="M233" i="185"/>
  <c r="K233" i="185"/>
  <c r="J233" i="185"/>
  <c r="I233" i="185"/>
  <c r="H233" i="185"/>
  <c r="G233" i="185"/>
  <c r="F233" i="185"/>
  <c r="E233" i="185"/>
  <c r="D233" i="185"/>
  <c r="AF232" i="185"/>
  <c r="AB232" i="185"/>
  <c r="AA232" i="185"/>
  <c r="Z232" i="185"/>
  <c r="Y232" i="185"/>
  <c r="X232" i="185"/>
  <c r="W232" i="185"/>
  <c r="V232" i="185"/>
  <c r="U232" i="185"/>
  <c r="T232" i="185"/>
  <c r="S232" i="185"/>
  <c r="R232" i="185"/>
  <c r="Q232" i="185"/>
  <c r="P232" i="185"/>
  <c r="O232" i="185"/>
  <c r="N232" i="185"/>
  <c r="M232" i="185"/>
  <c r="L232" i="185"/>
  <c r="J232" i="185"/>
  <c r="I232" i="185"/>
  <c r="H232" i="185"/>
  <c r="G232" i="185"/>
  <c r="F232" i="185"/>
  <c r="E232" i="185"/>
  <c r="D232" i="185"/>
  <c r="AE231" i="185"/>
  <c r="AB231" i="185"/>
  <c r="AA231" i="185"/>
  <c r="Z231" i="185"/>
  <c r="Y231" i="185"/>
  <c r="X231" i="185"/>
  <c r="W231" i="185"/>
  <c r="V231" i="185"/>
  <c r="U231" i="185"/>
  <c r="T231" i="185"/>
  <c r="S231" i="185"/>
  <c r="R231" i="185"/>
  <c r="Q231" i="185"/>
  <c r="P231" i="185"/>
  <c r="O231" i="185"/>
  <c r="N231" i="185"/>
  <c r="M231" i="185"/>
  <c r="L231" i="185"/>
  <c r="K231" i="185"/>
  <c r="I231" i="185"/>
  <c r="H231" i="185"/>
  <c r="G231" i="185"/>
  <c r="F231" i="185"/>
  <c r="E231" i="185"/>
  <c r="D231" i="185"/>
  <c r="AF230" i="185"/>
  <c r="AG230" i="185" s="1"/>
  <c r="AE230" i="185"/>
  <c r="AB230" i="185"/>
  <c r="AA230" i="185"/>
  <c r="Z230" i="185"/>
  <c r="Y230" i="185"/>
  <c r="X230" i="185"/>
  <c r="W230" i="185"/>
  <c r="V230" i="185"/>
  <c r="U230" i="185"/>
  <c r="T230" i="185"/>
  <c r="S230" i="185"/>
  <c r="R230" i="185"/>
  <c r="Q230" i="185"/>
  <c r="P230" i="185"/>
  <c r="O230" i="185"/>
  <c r="N230" i="185"/>
  <c r="M230" i="185"/>
  <c r="L230" i="185"/>
  <c r="K230" i="185"/>
  <c r="J230" i="185"/>
  <c r="H230" i="185"/>
  <c r="G230" i="185"/>
  <c r="F230" i="185"/>
  <c r="E230" i="185"/>
  <c r="D230" i="185"/>
  <c r="AF229" i="185"/>
  <c r="AG229" i="185" s="1"/>
  <c r="AE229" i="185"/>
  <c r="AB229" i="185"/>
  <c r="AA229" i="185"/>
  <c r="Z229" i="185"/>
  <c r="Y229" i="185"/>
  <c r="X229" i="185"/>
  <c r="W229" i="185"/>
  <c r="V229" i="185"/>
  <c r="U229" i="185"/>
  <c r="T229" i="185"/>
  <c r="S229" i="185"/>
  <c r="R229" i="185"/>
  <c r="Q229" i="185"/>
  <c r="P229" i="185"/>
  <c r="O229" i="185"/>
  <c r="N229" i="185"/>
  <c r="M229" i="185"/>
  <c r="L229" i="185"/>
  <c r="K229" i="185"/>
  <c r="J229" i="185"/>
  <c r="I229" i="185"/>
  <c r="G229" i="185"/>
  <c r="F229" i="185"/>
  <c r="E229" i="185"/>
  <c r="D229" i="185"/>
  <c r="AF228" i="185"/>
  <c r="AE228" i="185"/>
  <c r="AB228" i="185"/>
  <c r="AA228" i="185"/>
  <c r="Z228" i="185"/>
  <c r="Y228" i="185"/>
  <c r="X228" i="185"/>
  <c r="W228" i="185"/>
  <c r="V228" i="185"/>
  <c r="U228" i="185"/>
  <c r="T228" i="185"/>
  <c r="S228" i="185"/>
  <c r="R228" i="185"/>
  <c r="Q228" i="185"/>
  <c r="P228" i="185"/>
  <c r="O228" i="185"/>
  <c r="N228" i="185"/>
  <c r="M228" i="185"/>
  <c r="L228" i="185"/>
  <c r="K228" i="185"/>
  <c r="J228" i="185"/>
  <c r="I228" i="185"/>
  <c r="H228" i="185"/>
  <c r="F228" i="185"/>
  <c r="E228" i="185"/>
  <c r="D228" i="185"/>
  <c r="AF227" i="185"/>
  <c r="AB227" i="185"/>
  <c r="AA227" i="185"/>
  <c r="Z227" i="185"/>
  <c r="Y227" i="185"/>
  <c r="X227" i="185"/>
  <c r="W227" i="185"/>
  <c r="V227" i="185"/>
  <c r="U227" i="185"/>
  <c r="T227" i="185"/>
  <c r="S227" i="185"/>
  <c r="R227" i="185"/>
  <c r="Q227" i="185"/>
  <c r="P227" i="185"/>
  <c r="O227" i="185"/>
  <c r="N227" i="185"/>
  <c r="M227" i="185"/>
  <c r="L227" i="185"/>
  <c r="K227" i="185"/>
  <c r="J227" i="185"/>
  <c r="I227" i="185"/>
  <c r="H227" i="185"/>
  <c r="G227" i="185"/>
  <c r="E227" i="185"/>
  <c r="D227" i="185"/>
  <c r="AF226" i="185"/>
  <c r="AB226" i="185"/>
  <c r="AA226" i="185"/>
  <c r="Z226" i="185"/>
  <c r="Y226" i="185"/>
  <c r="X226" i="185"/>
  <c r="W226" i="185"/>
  <c r="V226" i="185"/>
  <c r="U226" i="185"/>
  <c r="T226" i="185"/>
  <c r="S226" i="185"/>
  <c r="R226" i="185"/>
  <c r="Q226" i="185"/>
  <c r="P226" i="185"/>
  <c r="O226" i="185"/>
  <c r="N226" i="185"/>
  <c r="M226" i="185"/>
  <c r="L226" i="185"/>
  <c r="K226" i="185"/>
  <c r="J226" i="185"/>
  <c r="I226" i="185"/>
  <c r="H226" i="185"/>
  <c r="G226" i="185"/>
  <c r="F226" i="185"/>
  <c r="D226" i="185"/>
  <c r="AB225" i="185"/>
  <c r="AA225" i="185"/>
  <c r="Z225" i="185"/>
  <c r="Y225" i="185"/>
  <c r="X225" i="185"/>
  <c r="W225" i="185"/>
  <c r="V225" i="185"/>
  <c r="U225" i="185"/>
  <c r="T225" i="185"/>
  <c r="S225" i="185"/>
  <c r="R225" i="185"/>
  <c r="Q225" i="185"/>
  <c r="P225" i="185"/>
  <c r="O225" i="185"/>
  <c r="N225" i="185"/>
  <c r="M225" i="185"/>
  <c r="L225" i="185"/>
  <c r="K225" i="185"/>
  <c r="J225" i="185"/>
  <c r="I225" i="185"/>
  <c r="H225" i="185"/>
  <c r="G225" i="185"/>
  <c r="F225" i="185"/>
  <c r="E225" i="185"/>
  <c r="V161" i="185"/>
  <c r="U161" i="185"/>
  <c r="S161" i="185"/>
  <c r="J161" i="185"/>
  <c r="I161" i="185"/>
  <c r="AD156" i="185"/>
  <c r="D156" i="185"/>
  <c r="B156" i="185"/>
  <c r="AE155" i="185"/>
  <c r="AD155" i="185"/>
  <c r="D155" i="185"/>
  <c r="B155" i="185"/>
  <c r="AQ154" i="185"/>
  <c r="AC154" i="185"/>
  <c r="AB154" i="185"/>
  <c r="AA154" i="185"/>
  <c r="Z154" i="185"/>
  <c r="Y154" i="185"/>
  <c r="X154" i="185"/>
  <c r="W154" i="185"/>
  <c r="V154" i="185"/>
  <c r="U154" i="185"/>
  <c r="T154" i="185"/>
  <c r="S154" i="185"/>
  <c r="R154" i="185"/>
  <c r="Q154" i="185"/>
  <c r="P154" i="185"/>
  <c r="O154" i="185"/>
  <c r="N154" i="185"/>
  <c r="M154" i="185"/>
  <c r="L154" i="185"/>
  <c r="K154" i="185"/>
  <c r="J154" i="185"/>
  <c r="I154" i="185"/>
  <c r="H154" i="185"/>
  <c r="G154" i="185"/>
  <c r="F154" i="185"/>
  <c r="E154" i="185"/>
  <c r="D154" i="185"/>
  <c r="B154" i="185"/>
  <c r="AC153" i="185"/>
  <c r="AB153" i="185"/>
  <c r="AA153" i="185"/>
  <c r="Z153" i="185"/>
  <c r="Y153" i="185"/>
  <c r="X153" i="185"/>
  <c r="W153" i="185"/>
  <c r="V153" i="185"/>
  <c r="U153" i="185"/>
  <c r="T153" i="185"/>
  <c r="S153" i="185"/>
  <c r="R153" i="185"/>
  <c r="Q153" i="185"/>
  <c r="P153" i="185"/>
  <c r="O153" i="185"/>
  <c r="N153" i="185"/>
  <c r="M153" i="185"/>
  <c r="L153" i="185"/>
  <c r="K153" i="185"/>
  <c r="J153" i="185"/>
  <c r="I153" i="185"/>
  <c r="H153" i="185"/>
  <c r="G153" i="185"/>
  <c r="F153" i="185"/>
  <c r="E153" i="185"/>
  <c r="D153" i="185"/>
  <c r="AQ153" i="185" s="1"/>
  <c r="B153" i="185"/>
  <c r="AQ152" i="185"/>
  <c r="AC152" i="185"/>
  <c r="AB152" i="185"/>
  <c r="AA152" i="185"/>
  <c r="Z152" i="185"/>
  <c r="Y152" i="185"/>
  <c r="X152" i="185"/>
  <c r="W152" i="185"/>
  <c r="V152" i="185"/>
  <c r="U152" i="185"/>
  <c r="T152" i="185"/>
  <c r="S152" i="185"/>
  <c r="R152" i="185"/>
  <c r="Q152" i="185"/>
  <c r="P152" i="185"/>
  <c r="O152" i="185"/>
  <c r="N152" i="185"/>
  <c r="M152" i="185"/>
  <c r="L152" i="185"/>
  <c r="K152" i="185"/>
  <c r="J152" i="185"/>
  <c r="I152" i="185"/>
  <c r="H152" i="185"/>
  <c r="G152" i="185"/>
  <c r="F152" i="185"/>
  <c r="E152" i="185"/>
  <c r="D152" i="185"/>
  <c r="B152" i="185"/>
  <c r="AC151" i="185"/>
  <c r="AB151" i="185"/>
  <c r="AA151" i="185"/>
  <c r="Z151" i="185"/>
  <c r="Y151" i="185"/>
  <c r="X151" i="185"/>
  <c r="W151" i="185"/>
  <c r="V151" i="185"/>
  <c r="U151" i="185"/>
  <c r="T151" i="185"/>
  <c r="S151" i="185"/>
  <c r="R151" i="185"/>
  <c r="Q151" i="185"/>
  <c r="P151" i="185"/>
  <c r="O151" i="185"/>
  <c r="N151" i="185"/>
  <c r="M151" i="185"/>
  <c r="L151" i="185"/>
  <c r="K151" i="185"/>
  <c r="J151" i="185"/>
  <c r="I151" i="185"/>
  <c r="H151" i="185"/>
  <c r="G151" i="185"/>
  <c r="F151" i="185"/>
  <c r="E151" i="185"/>
  <c r="D151" i="185"/>
  <c r="B151" i="185"/>
  <c r="AQ150" i="185"/>
  <c r="AC150" i="185"/>
  <c r="AB150" i="185"/>
  <c r="AA150" i="185"/>
  <c r="Z150" i="185"/>
  <c r="Y150" i="185"/>
  <c r="X150" i="185"/>
  <c r="W150" i="185"/>
  <c r="V150" i="185"/>
  <c r="U150" i="185"/>
  <c r="T150" i="185"/>
  <c r="S150" i="185"/>
  <c r="R150" i="185"/>
  <c r="Q150" i="185"/>
  <c r="P150" i="185"/>
  <c r="O150" i="185"/>
  <c r="N150" i="185"/>
  <c r="M150" i="185"/>
  <c r="L150" i="185"/>
  <c r="K150" i="185"/>
  <c r="J150" i="185"/>
  <c r="I150" i="185"/>
  <c r="H150" i="185"/>
  <c r="G150" i="185"/>
  <c r="F150" i="185"/>
  <c r="E150" i="185"/>
  <c r="D150" i="185"/>
  <c r="B150" i="185"/>
  <c r="AC149" i="185"/>
  <c r="AB149" i="185"/>
  <c r="AA149" i="185"/>
  <c r="Z149" i="185"/>
  <c r="Y149" i="185"/>
  <c r="X149" i="185"/>
  <c r="W149" i="185"/>
  <c r="V149" i="185"/>
  <c r="U149" i="185"/>
  <c r="T149" i="185"/>
  <c r="S149" i="185"/>
  <c r="R149" i="185"/>
  <c r="Q149" i="185"/>
  <c r="P149" i="185"/>
  <c r="O149" i="185"/>
  <c r="N149" i="185"/>
  <c r="M149" i="185"/>
  <c r="L149" i="185"/>
  <c r="K149" i="185"/>
  <c r="J149" i="185"/>
  <c r="I149" i="185"/>
  <c r="H149" i="185"/>
  <c r="G149" i="185"/>
  <c r="F149" i="185"/>
  <c r="E149" i="185"/>
  <c r="D149" i="185"/>
  <c r="AQ149" i="185" s="1"/>
  <c r="B149" i="185"/>
  <c r="AQ148" i="185"/>
  <c r="AC148" i="185"/>
  <c r="AB148" i="185"/>
  <c r="AA148" i="185"/>
  <c r="Z148" i="185"/>
  <c r="Y148" i="185"/>
  <c r="X148" i="185"/>
  <c r="W148" i="185"/>
  <c r="V148" i="185"/>
  <c r="U148" i="185"/>
  <c r="T148" i="185"/>
  <c r="S148" i="185"/>
  <c r="R148" i="185"/>
  <c r="Q148" i="185"/>
  <c r="P148" i="185"/>
  <c r="O148" i="185"/>
  <c r="N148" i="185"/>
  <c r="M148" i="185"/>
  <c r="L148" i="185"/>
  <c r="K148" i="185"/>
  <c r="J148" i="185"/>
  <c r="I148" i="185"/>
  <c r="H148" i="185"/>
  <c r="G148" i="185"/>
  <c r="F148" i="185"/>
  <c r="E148" i="185"/>
  <c r="D148" i="185"/>
  <c r="B148" i="185"/>
  <c r="AC147" i="185"/>
  <c r="AB147" i="185"/>
  <c r="AA147" i="185"/>
  <c r="Z147" i="185"/>
  <c r="Y147" i="185"/>
  <c r="X147" i="185"/>
  <c r="W147" i="185"/>
  <c r="V147" i="185"/>
  <c r="U147" i="185"/>
  <c r="T147" i="185"/>
  <c r="S147" i="185"/>
  <c r="R147" i="185"/>
  <c r="Q147" i="185"/>
  <c r="P147" i="185"/>
  <c r="O147" i="185"/>
  <c r="N147" i="185"/>
  <c r="M147" i="185"/>
  <c r="L147" i="185"/>
  <c r="K147" i="185"/>
  <c r="J147" i="185"/>
  <c r="I147" i="185"/>
  <c r="H147" i="185"/>
  <c r="G147" i="185"/>
  <c r="F147" i="185"/>
  <c r="E147" i="185"/>
  <c r="D147" i="185"/>
  <c r="B147" i="185"/>
  <c r="AQ146" i="185"/>
  <c r="AC146" i="185"/>
  <c r="AB146" i="185"/>
  <c r="AA146" i="185"/>
  <c r="Z146" i="185"/>
  <c r="Y146" i="185"/>
  <c r="X146" i="185"/>
  <c r="W146" i="185"/>
  <c r="V146" i="185"/>
  <c r="U146" i="185"/>
  <c r="T146" i="185"/>
  <c r="S146" i="185"/>
  <c r="R146" i="185"/>
  <c r="Q146" i="185"/>
  <c r="P146" i="185"/>
  <c r="O146" i="185"/>
  <c r="N146" i="185"/>
  <c r="M146" i="185"/>
  <c r="L146" i="185"/>
  <c r="K146" i="185"/>
  <c r="J146" i="185"/>
  <c r="I146" i="185"/>
  <c r="H146" i="185"/>
  <c r="G146" i="185"/>
  <c r="F146" i="185"/>
  <c r="E146" i="185"/>
  <c r="D146" i="185"/>
  <c r="B146" i="185"/>
  <c r="AC145" i="185"/>
  <c r="AB145" i="185"/>
  <c r="AA145" i="185"/>
  <c r="Z145" i="185"/>
  <c r="Y145" i="185"/>
  <c r="X145" i="185"/>
  <c r="W145" i="185"/>
  <c r="V145" i="185"/>
  <c r="U145" i="185"/>
  <c r="T145" i="185"/>
  <c r="S145" i="185"/>
  <c r="R145" i="185"/>
  <c r="Q145" i="185"/>
  <c r="P145" i="185"/>
  <c r="O145" i="185"/>
  <c r="N145" i="185"/>
  <c r="M145" i="185"/>
  <c r="L145" i="185"/>
  <c r="K145" i="185"/>
  <c r="J145" i="185"/>
  <c r="I145" i="185"/>
  <c r="H145" i="185"/>
  <c r="G145" i="185"/>
  <c r="F145" i="185"/>
  <c r="E145" i="185"/>
  <c r="D145" i="185"/>
  <c r="AQ145" i="185" s="1"/>
  <c r="B145" i="185"/>
  <c r="AE144" i="185"/>
  <c r="AD144" i="185"/>
  <c r="AC144" i="185"/>
  <c r="AC161" i="185" s="1"/>
  <c r="AB144" i="185"/>
  <c r="AA144" i="185"/>
  <c r="AA161" i="185" s="1"/>
  <c r="Z144" i="185"/>
  <c r="Z161" i="185" s="1"/>
  <c r="Y144" i="185"/>
  <c r="Y161" i="185" s="1"/>
  <c r="X144" i="185"/>
  <c r="X161" i="185" s="1"/>
  <c r="W144" i="185"/>
  <c r="W161" i="185" s="1"/>
  <c r="V144" i="185"/>
  <c r="U144" i="185"/>
  <c r="T144" i="185"/>
  <c r="T161" i="185" s="1"/>
  <c r="S144" i="185"/>
  <c r="R144" i="185"/>
  <c r="Q144" i="185"/>
  <c r="Q161" i="185" s="1"/>
  <c r="P144" i="185"/>
  <c r="O144" i="185"/>
  <c r="O161" i="185" s="1"/>
  <c r="N144" i="185"/>
  <c r="M144" i="185"/>
  <c r="M161" i="185" s="1"/>
  <c r="L144" i="185"/>
  <c r="L161" i="185" s="1"/>
  <c r="K144" i="185"/>
  <c r="K161" i="185" s="1"/>
  <c r="J144" i="185"/>
  <c r="I144" i="185"/>
  <c r="H144" i="185"/>
  <c r="H161" i="185" s="1"/>
  <c r="G144" i="185"/>
  <c r="F144" i="185"/>
  <c r="E144" i="185"/>
  <c r="E161" i="185" s="1"/>
  <c r="AE143" i="185"/>
  <c r="AD143" i="185"/>
  <c r="AC143" i="185"/>
  <c r="AB143" i="185"/>
  <c r="AA143" i="185"/>
  <c r="Z143" i="185"/>
  <c r="Y143" i="185"/>
  <c r="X143" i="185"/>
  <c r="W143" i="185"/>
  <c r="V143" i="185"/>
  <c r="U143" i="185"/>
  <c r="T143" i="185"/>
  <c r="S143" i="185"/>
  <c r="R143" i="185"/>
  <c r="Q143" i="185"/>
  <c r="P143" i="185"/>
  <c r="O143" i="185"/>
  <c r="N143" i="185"/>
  <c r="M143" i="185"/>
  <c r="L143" i="185"/>
  <c r="K143" i="185"/>
  <c r="J143" i="185"/>
  <c r="I143" i="185"/>
  <c r="H143" i="185"/>
  <c r="G143" i="185"/>
  <c r="F143" i="185"/>
  <c r="E143" i="185"/>
  <c r="AC120" i="185"/>
  <c r="AC126" i="185" s="1"/>
  <c r="AB120" i="185"/>
  <c r="AA120" i="185"/>
  <c r="AA126" i="185" s="1"/>
  <c r="Z120" i="185"/>
  <c r="Z156" i="185" s="1"/>
  <c r="Y120" i="185"/>
  <c r="Y156" i="185" s="1"/>
  <c r="X120" i="185"/>
  <c r="X156" i="185" s="1"/>
  <c r="W120" i="185"/>
  <c r="W156" i="185" s="1"/>
  <c r="V120" i="185"/>
  <c r="V156" i="185" s="1"/>
  <c r="U120" i="185"/>
  <c r="U156" i="185" s="1"/>
  <c r="T120" i="185"/>
  <c r="T124" i="185" s="1"/>
  <c r="S120" i="185"/>
  <c r="Q120" i="185"/>
  <c r="Q124" i="185" s="1"/>
  <c r="P120" i="185"/>
  <c r="O120" i="185"/>
  <c r="O124" i="185" s="1"/>
  <c r="M120" i="185"/>
  <c r="M156" i="185" s="1"/>
  <c r="L120" i="185"/>
  <c r="L156" i="185" s="1"/>
  <c r="K120" i="185"/>
  <c r="K129" i="185" s="1"/>
  <c r="J120" i="185"/>
  <c r="J129" i="185" s="1"/>
  <c r="I120" i="185"/>
  <c r="I129" i="185" s="1"/>
  <c r="H120" i="185"/>
  <c r="F120" i="185"/>
  <c r="F156" i="185" s="1"/>
  <c r="E120" i="185"/>
  <c r="AE118" i="185"/>
  <c r="AP118" i="185" s="1"/>
  <c r="AE117" i="185"/>
  <c r="AE153" i="185" s="1"/>
  <c r="AE116" i="185"/>
  <c r="AP116" i="185" s="1"/>
  <c r="AE114" i="185"/>
  <c r="AE113" i="185"/>
  <c r="AE112" i="185"/>
  <c r="AE110" i="185"/>
  <c r="AE146" i="185" s="1"/>
  <c r="AE109" i="185"/>
  <c r="AP109" i="185" s="1"/>
  <c r="AH105" i="185"/>
  <c r="AH104" i="185"/>
  <c r="K80" i="185"/>
  <c r="K77" i="185"/>
  <c r="K76" i="185"/>
  <c r="K75" i="185"/>
  <c r="K74" i="185"/>
  <c r="K73" i="185"/>
  <c r="K72" i="185"/>
  <c r="K71" i="185"/>
  <c r="K68" i="185"/>
  <c r="K67" i="185"/>
  <c r="N66" i="185"/>
  <c r="N70" i="185" s="1"/>
  <c r="K65" i="185"/>
  <c r="K64" i="185"/>
  <c r="K63" i="185"/>
  <c r="K62" i="185"/>
  <c r="K61" i="185"/>
  <c r="K60" i="185"/>
  <c r="K59" i="185"/>
  <c r="K58" i="185"/>
  <c r="K57" i="185"/>
  <c r="K56" i="185"/>
  <c r="K55" i="185"/>
  <c r="K54" i="185"/>
  <c r="K53" i="185"/>
  <c r="C12" i="185"/>
  <c r="A1" i="185"/>
  <c r="C4" i="185" s="1"/>
  <c r="C239" i="184"/>
  <c r="AF235" i="184"/>
  <c r="AF234" i="184"/>
  <c r="AB234" i="184"/>
  <c r="AA234" i="184"/>
  <c r="Z234" i="184"/>
  <c r="Y234" i="184"/>
  <c r="X234" i="184"/>
  <c r="W234" i="184"/>
  <c r="V234" i="184"/>
  <c r="U234" i="184"/>
  <c r="T234" i="184"/>
  <c r="S234" i="184"/>
  <c r="R234" i="184"/>
  <c r="Q234" i="184"/>
  <c r="P234" i="184"/>
  <c r="L234" i="184"/>
  <c r="K234" i="184"/>
  <c r="J234" i="184"/>
  <c r="I234" i="184"/>
  <c r="H234" i="184"/>
  <c r="G234" i="184"/>
  <c r="F234" i="184"/>
  <c r="E234" i="184"/>
  <c r="D234" i="184"/>
  <c r="AF233" i="184"/>
  <c r="AB233" i="184"/>
  <c r="AA233" i="184"/>
  <c r="Z233" i="184"/>
  <c r="Y233" i="184"/>
  <c r="X233" i="184"/>
  <c r="W233" i="184"/>
  <c r="V233" i="184"/>
  <c r="U233" i="184"/>
  <c r="T233" i="184"/>
  <c r="S233" i="184"/>
  <c r="R233" i="184"/>
  <c r="Q233" i="184"/>
  <c r="P233" i="184"/>
  <c r="O233" i="184"/>
  <c r="N233" i="184"/>
  <c r="M233" i="184"/>
  <c r="K233" i="184"/>
  <c r="J233" i="184"/>
  <c r="I233" i="184"/>
  <c r="H233" i="184"/>
  <c r="G233" i="184"/>
  <c r="F233" i="184"/>
  <c r="E233" i="184"/>
  <c r="D233" i="184"/>
  <c r="AF232" i="184"/>
  <c r="AB232" i="184"/>
  <c r="AA232" i="184"/>
  <c r="Z232" i="184"/>
  <c r="Y232" i="184"/>
  <c r="X232" i="184"/>
  <c r="W232" i="184"/>
  <c r="V232" i="184"/>
  <c r="U232" i="184"/>
  <c r="T232" i="184"/>
  <c r="S232" i="184"/>
  <c r="R232" i="184"/>
  <c r="Q232" i="184"/>
  <c r="P232" i="184"/>
  <c r="O232" i="184"/>
  <c r="N232" i="184"/>
  <c r="M232" i="184"/>
  <c r="L232" i="184"/>
  <c r="J232" i="184"/>
  <c r="I232" i="184"/>
  <c r="H232" i="184"/>
  <c r="G232" i="184"/>
  <c r="F232" i="184"/>
  <c r="E232" i="184"/>
  <c r="D232" i="184"/>
  <c r="AE231" i="184"/>
  <c r="AB231" i="184"/>
  <c r="AA231" i="184"/>
  <c r="Z231" i="184"/>
  <c r="Y231" i="184"/>
  <c r="X231" i="184"/>
  <c r="W231" i="184"/>
  <c r="V231" i="184"/>
  <c r="U231" i="184"/>
  <c r="T231" i="184"/>
  <c r="S231" i="184"/>
  <c r="R231" i="184"/>
  <c r="Q231" i="184"/>
  <c r="P231" i="184"/>
  <c r="O231" i="184"/>
  <c r="N231" i="184"/>
  <c r="M231" i="184"/>
  <c r="L231" i="184"/>
  <c r="K231" i="184"/>
  <c r="I231" i="184"/>
  <c r="H231" i="184"/>
  <c r="G231" i="184"/>
  <c r="F231" i="184"/>
  <c r="E231" i="184"/>
  <c r="D231" i="184"/>
  <c r="AF230" i="184"/>
  <c r="AE230" i="184"/>
  <c r="AB230" i="184"/>
  <c r="AA230" i="184"/>
  <c r="Z230" i="184"/>
  <c r="Y230" i="184"/>
  <c r="X230" i="184"/>
  <c r="W230" i="184"/>
  <c r="V230" i="184"/>
  <c r="U230" i="184"/>
  <c r="T230" i="184"/>
  <c r="S230" i="184"/>
  <c r="R230" i="184"/>
  <c r="Q230" i="184"/>
  <c r="P230" i="184"/>
  <c r="O230" i="184"/>
  <c r="N230" i="184"/>
  <c r="M230" i="184"/>
  <c r="L230" i="184"/>
  <c r="K230" i="184"/>
  <c r="J230" i="184"/>
  <c r="H230" i="184"/>
  <c r="G230" i="184"/>
  <c r="F230" i="184"/>
  <c r="E230" i="184"/>
  <c r="D230" i="184"/>
  <c r="AF229" i="184"/>
  <c r="AE229" i="184"/>
  <c r="AB229" i="184"/>
  <c r="AA229" i="184"/>
  <c r="Z229" i="184"/>
  <c r="Y229" i="184"/>
  <c r="X229" i="184"/>
  <c r="W229" i="184"/>
  <c r="V229" i="184"/>
  <c r="U229" i="184"/>
  <c r="T229" i="184"/>
  <c r="S229" i="184"/>
  <c r="R229" i="184"/>
  <c r="Q229" i="184"/>
  <c r="P229" i="184"/>
  <c r="O229" i="184"/>
  <c r="N229" i="184"/>
  <c r="M229" i="184"/>
  <c r="L229" i="184"/>
  <c r="K229" i="184"/>
  <c r="J229" i="184"/>
  <c r="I229" i="184"/>
  <c r="G229" i="184"/>
  <c r="F229" i="184"/>
  <c r="E229" i="184"/>
  <c r="D229" i="184"/>
  <c r="AF228" i="184"/>
  <c r="AE228" i="184"/>
  <c r="AG228" i="184" s="1"/>
  <c r="AB228" i="184"/>
  <c r="AA228" i="184"/>
  <c r="Z228" i="184"/>
  <c r="Y228" i="184"/>
  <c r="X228" i="184"/>
  <c r="W228" i="184"/>
  <c r="V228" i="184"/>
  <c r="U228" i="184"/>
  <c r="T228" i="184"/>
  <c r="S228" i="184"/>
  <c r="R228" i="184"/>
  <c r="Q228" i="184"/>
  <c r="P228" i="184"/>
  <c r="O228" i="184"/>
  <c r="N228" i="184"/>
  <c r="M228" i="184"/>
  <c r="L228" i="184"/>
  <c r="K228" i="184"/>
  <c r="J228" i="184"/>
  <c r="I228" i="184"/>
  <c r="H228" i="184"/>
  <c r="F228" i="184"/>
  <c r="E228" i="184"/>
  <c r="D228" i="184"/>
  <c r="AF227" i="184"/>
  <c r="AB227" i="184"/>
  <c r="AA227" i="184"/>
  <c r="Z227" i="184"/>
  <c r="Y227" i="184"/>
  <c r="X227" i="184"/>
  <c r="W227" i="184"/>
  <c r="V227" i="184"/>
  <c r="U227" i="184"/>
  <c r="T227" i="184"/>
  <c r="S227" i="184"/>
  <c r="R227" i="184"/>
  <c r="Q227" i="184"/>
  <c r="P227" i="184"/>
  <c r="O227" i="184"/>
  <c r="N227" i="184"/>
  <c r="M227" i="184"/>
  <c r="L227" i="184"/>
  <c r="K227" i="184"/>
  <c r="J227" i="184"/>
  <c r="I227" i="184"/>
  <c r="H227" i="184"/>
  <c r="G227" i="184"/>
  <c r="E227" i="184"/>
  <c r="D227" i="184"/>
  <c r="AF226" i="184"/>
  <c r="AB226" i="184"/>
  <c r="AA226" i="184"/>
  <c r="Z226" i="184"/>
  <c r="Y226" i="184"/>
  <c r="X226" i="184"/>
  <c r="W226" i="184"/>
  <c r="V226" i="184"/>
  <c r="U226" i="184"/>
  <c r="T226" i="184"/>
  <c r="S226" i="184"/>
  <c r="R226" i="184"/>
  <c r="Q226" i="184"/>
  <c r="P226" i="184"/>
  <c r="O226" i="184"/>
  <c r="N226" i="184"/>
  <c r="M226" i="184"/>
  <c r="L226" i="184"/>
  <c r="K226" i="184"/>
  <c r="J226" i="184"/>
  <c r="I226" i="184"/>
  <c r="H226" i="184"/>
  <c r="G226" i="184"/>
  <c r="F226" i="184"/>
  <c r="D226" i="184"/>
  <c r="AB225" i="184"/>
  <c r="AA225" i="184"/>
  <c r="Z225" i="184"/>
  <c r="Y225" i="184"/>
  <c r="X225" i="184"/>
  <c r="W225" i="184"/>
  <c r="V225" i="184"/>
  <c r="U225" i="184"/>
  <c r="T225" i="184"/>
  <c r="S225" i="184"/>
  <c r="R225" i="184"/>
  <c r="Q225" i="184"/>
  <c r="P225" i="184"/>
  <c r="O225" i="184"/>
  <c r="N225" i="184"/>
  <c r="M225" i="184"/>
  <c r="L225" i="184"/>
  <c r="K225" i="184"/>
  <c r="J225" i="184"/>
  <c r="I225" i="184"/>
  <c r="H225" i="184"/>
  <c r="G225" i="184"/>
  <c r="F225" i="184"/>
  <c r="E225" i="184"/>
  <c r="AC161" i="184"/>
  <c r="AA161" i="184"/>
  <c r="S161" i="184"/>
  <c r="Q161" i="184"/>
  <c r="O161" i="184"/>
  <c r="E161" i="184"/>
  <c r="AD156" i="184"/>
  <c r="D156" i="184"/>
  <c r="B156" i="184"/>
  <c r="AE155" i="184"/>
  <c r="AD155" i="184"/>
  <c r="D155" i="184"/>
  <c r="B155" i="184"/>
  <c r="AC154" i="184"/>
  <c r="AB154" i="184"/>
  <c r="AA154" i="184"/>
  <c r="Z154" i="184"/>
  <c r="Y154" i="184"/>
  <c r="X154" i="184"/>
  <c r="W154" i="184"/>
  <c r="V154" i="184"/>
  <c r="U154" i="184"/>
  <c r="T154" i="184"/>
  <c r="S154" i="184"/>
  <c r="R154" i="184"/>
  <c r="Q154" i="184"/>
  <c r="P154" i="184"/>
  <c r="O154" i="184"/>
  <c r="N154" i="184"/>
  <c r="M154" i="184"/>
  <c r="L154" i="184"/>
  <c r="K154" i="184"/>
  <c r="J154" i="184"/>
  <c r="I154" i="184"/>
  <c r="H154" i="184"/>
  <c r="G154" i="184"/>
  <c r="F154" i="184"/>
  <c r="E154" i="184"/>
  <c r="D154" i="184"/>
  <c r="B154" i="184"/>
  <c r="AC153" i="184"/>
  <c r="AB153" i="184"/>
  <c r="AA153" i="184"/>
  <c r="Z153" i="184"/>
  <c r="Y153" i="184"/>
  <c r="X153" i="184"/>
  <c r="W153" i="184"/>
  <c r="V153" i="184"/>
  <c r="U153" i="184"/>
  <c r="T153" i="184"/>
  <c r="S153" i="184"/>
  <c r="R153" i="184"/>
  <c r="Q153" i="184"/>
  <c r="P153" i="184"/>
  <c r="O153" i="184"/>
  <c r="N153" i="184"/>
  <c r="M153" i="184"/>
  <c r="L153" i="184"/>
  <c r="K153" i="184"/>
  <c r="J153" i="184"/>
  <c r="I153" i="184"/>
  <c r="H153" i="184"/>
  <c r="G153" i="184"/>
  <c r="F153" i="184"/>
  <c r="E153" i="184"/>
  <c r="D153" i="184"/>
  <c r="AQ153" i="184" s="1"/>
  <c r="B153" i="184"/>
  <c r="AC152" i="184"/>
  <c r="AB152" i="184"/>
  <c r="AA152" i="184"/>
  <c r="Z152" i="184"/>
  <c r="Y152" i="184"/>
  <c r="X152" i="184"/>
  <c r="W152" i="184"/>
  <c r="V152" i="184"/>
  <c r="U152" i="184"/>
  <c r="T152" i="184"/>
  <c r="S152" i="184"/>
  <c r="R152" i="184"/>
  <c r="Q152" i="184"/>
  <c r="P152" i="184"/>
  <c r="O152" i="184"/>
  <c r="N152" i="184"/>
  <c r="M152" i="184"/>
  <c r="L152" i="184"/>
  <c r="K152" i="184"/>
  <c r="J152" i="184"/>
  <c r="I152" i="184"/>
  <c r="H152" i="184"/>
  <c r="G152" i="184"/>
  <c r="F152" i="184"/>
  <c r="E152" i="184"/>
  <c r="D152" i="184"/>
  <c r="B152" i="184"/>
  <c r="AC151" i="184"/>
  <c r="AB151" i="184"/>
  <c r="AA151" i="184"/>
  <c r="Z151" i="184"/>
  <c r="Y151" i="184"/>
  <c r="X151" i="184"/>
  <c r="W151" i="184"/>
  <c r="V151" i="184"/>
  <c r="U151" i="184"/>
  <c r="T151" i="184"/>
  <c r="S151" i="184"/>
  <c r="R151" i="184"/>
  <c r="Q151" i="184"/>
  <c r="P151" i="184"/>
  <c r="O151" i="184"/>
  <c r="N151" i="184"/>
  <c r="M151" i="184"/>
  <c r="L151" i="184"/>
  <c r="K151" i="184"/>
  <c r="J151" i="184"/>
  <c r="I151" i="184"/>
  <c r="H151" i="184"/>
  <c r="G151" i="184"/>
  <c r="F151" i="184"/>
  <c r="E151" i="184"/>
  <c r="D151" i="184"/>
  <c r="B151" i="184"/>
  <c r="AC150" i="184"/>
  <c r="AB150" i="184"/>
  <c r="AA150" i="184"/>
  <c r="Z150" i="184"/>
  <c r="Y150" i="184"/>
  <c r="X150" i="184"/>
  <c r="W150" i="184"/>
  <c r="V150" i="184"/>
  <c r="U150" i="184"/>
  <c r="T150" i="184"/>
  <c r="S150" i="184"/>
  <c r="R150" i="184"/>
  <c r="Q150" i="184"/>
  <c r="P150" i="184"/>
  <c r="O150" i="184"/>
  <c r="N150" i="184"/>
  <c r="M150" i="184"/>
  <c r="L150" i="184"/>
  <c r="K150" i="184"/>
  <c r="J150" i="184"/>
  <c r="I150" i="184"/>
  <c r="H150" i="184"/>
  <c r="G150" i="184"/>
  <c r="F150" i="184"/>
  <c r="E150" i="184"/>
  <c r="D150" i="184"/>
  <c r="B150" i="184"/>
  <c r="AC149" i="184"/>
  <c r="AB149" i="184"/>
  <c r="AA149" i="184"/>
  <c r="Z149" i="184"/>
  <c r="Y149" i="184"/>
  <c r="X149" i="184"/>
  <c r="W149" i="184"/>
  <c r="V149" i="184"/>
  <c r="U149" i="184"/>
  <c r="T149" i="184"/>
  <c r="S149" i="184"/>
  <c r="R149" i="184"/>
  <c r="Q149" i="184"/>
  <c r="P149" i="184"/>
  <c r="O149" i="184"/>
  <c r="N149" i="184"/>
  <c r="M149" i="184"/>
  <c r="L149" i="184"/>
  <c r="K149" i="184"/>
  <c r="J149" i="184"/>
  <c r="I149" i="184"/>
  <c r="H149" i="184"/>
  <c r="G149" i="184"/>
  <c r="F149" i="184"/>
  <c r="E149" i="184"/>
  <c r="D149" i="184"/>
  <c r="AQ149" i="184" s="1"/>
  <c r="B149" i="184"/>
  <c r="AC148" i="184"/>
  <c r="AB148" i="184"/>
  <c r="AA148" i="184"/>
  <c r="Z148" i="184"/>
  <c r="Y148" i="184"/>
  <c r="X148" i="184"/>
  <c r="W148" i="184"/>
  <c r="V148" i="184"/>
  <c r="U148" i="184"/>
  <c r="T148" i="184"/>
  <c r="S148" i="184"/>
  <c r="R148" i="184"/>
  <c r="Q148" i="184"/>
  <c r="P148" i="184"/>
  <c r="O148" i="184"/>
  <c r="N148" i="184"/>
  <c r="M148" i="184"/>
  <c r="L148" i="184"/>
  <c r="K148" i="184"/>
  <c r="J148" i="184"/>
  <c r="I148" i="184"/>
  <c r="H148" i="184"/>
  <c r="G148" i="184"/>
  <c r="F148" i="184"/>
  <c r="E148" i="184"/>
  <c r="D148" i="184"/>
  <c r="B148" i="184"/>
  <c r="AC147" i="184"/>
  <c r="AB147" i="184"/>
  <c r="AA147" i="184"/>
  <c r="Z147" i="184"/>
  <c r="Y147" i="184"/>
  <c r="X147" i="184"/>
  <c r="W147" i="184"/>
  <c r="V147" i="184"/>
  <c r="U147" i="184"/>
  <c r="T147" i="184"/>
  <c r="S147" i="184"/>
  <c r="R147" i="184"/>
  <c r="Q147" i="184"/>
  <c r="P147" i="184"/>
  <c r="O147" i="184"/>
  <c r="N147" i="184"/>
  <c r="M147" i="184"/>
  <c r="L147" i="184"/>
  <c r="K147" i="184"/>
  <c r="J147" i="184"/>
  <c r="I147" i="184"/>
  <c r="H147" i="184"/>
  <c r="G147" i="184"/>
  <c r="F147" i="184"/>
  <c r="E147" i="184"/>
  <c r="D147" i="184"/>
  <c r="B147" i="184"/>
  <c r="AC146" i="184"/>
  <c r="AB146" i="184"/>
  <c r="AA146" i="184"/>
  <c r="Z146" i="184"/>
  <c r="Y146" i="184"/>
  <c r="X146" i="184"/>
  <c r="W146" i="184"/>
  <c r="V146" i="184"/>
  <c r="U146" i="184"/>
  <c r="T146" i="184"/>
  <c r="S146" i="184"/>
  <c r="R146" i="184"/>
  <c r="Q146" i="184"/>
  <c r="P146" i="184"/>
  <c r="O146" i="184"/>
  <c r="N146" i="184"/>
  <c r="M146" i="184"/>
  <c r="L146" i="184"/>
  <c r="K146" i="184"/>
  <c r="J146" i="184"/>
  <c r="I146" i="184"/>
  <c r="H146" i="184"/>
  <c r="G146" i="184"/>
  <c r="F146" i="184"/>
  <c r="E146" i="184"/>
  <c r="D146" i="184"/>
  <c r="B146" i="184"/>
  <c r="AC145" i="184"/>
  <c r="AB145" i="184"/>
  <c r="AA145" i="184"/>
  <c r="Z145" i="184"/>
  <c r="Y145" i="184"/>
  <c r="X145" i="184"/>
  <c r="W145" i="184"/>
  <c r="V145" i="184"/>
  <c r="U145" i="184"/>
  <c r="T145" i="184"/>
  <c r="S145" i="184"/>
  <c r="R145" i="184"/>
  <c r="Q145" i="184"/>
  <c r="P145" i="184"/>
  <c r="O145" i="184"/>
  <c r="N145" i="184"/>
  <c r="M145" i="184"/>
  <c r="L145" i="184"/>
  <c r="K145" i="184"/>
  <c r="J145" i="184"/>
  <c r="I145" i="184"/>
  <c r="H145" i="184"/>
  <c r="G145" i="184"/>
  <c r="F145" i="184"/>
  <c r="E145" i="184"/>
  <c r="D145" i="184"/>
  <c r="AQ145" i="184" s="1"/>
  <c r="B145" i="184"/>
  <c r="AE144" i="184"/>
  <c r="AD144" i="184"/>
  <c r="AC144" i="184"/>
  <c r="AB144" i="184"/>
  <c r="AB161" i="184" s="1"/>
  <c r="AA144" i="184"/>
  <c r="Z144" i="184"/>
  <c r="Y144" i="184"/>
  <c r="Y161" i="184" s="1"/>
  <c r="X144" i="184"/>
  <c r="W144" i="184"/>
  <c r="V144" i="184"/>
  <c r="V161" i="184" s="1"/>
  <c r="U144" i="184"/>
  <c r="U161" i="184" s="1"/>
  <c r="T144" i="184"/>
  <c r="T161" i="184" s="1"/>
  <c r="S144" i="184"/>
  <c r="R144" i="184"/>
  <c r="Q144" i="184"/>
  <c r="P144" i="184"/>
  <c r="P161" i="184" s="1"/>
  <c r="O144" i="184"/>
  <c r="N144" i="184"/>
  <c r="M144" i="184"/>
  <c r="M161" i="184" s="1"/>
  <c r="L144" i="184"/>
  <c r="K144" i="184"/>
  <c r="J144" i="184"/>
  <c r="J161" i="184" s="1"/>
  <c r="I144" i="184"/>
  <c r="I161" i="184" s="1"/>
  <c r="H144" i="184"/>
  <c r="H161" i="184" s="1"/>
  <c r="G144" i="184"/>
  <c r="F144" i="184"/>
  <c r="F161" i="184" s="1"/>
  <c r="E144" i="184"/>
  <c r="AE143" i="184"/>
  <c r="AD143" i="184"/>
  <c r="AC143" i="184"/>
  <c r="AB143" i="184"/>
  <c r="AA143" i="184"/>
  <c r="Z143" i="184"/>
  <c r="Y143" i="184"/>
  <c r="X143" i="184"/>
  <c r="W143" i="184"/>
  <c r="V143" i="184"/>
  <c r="U143" i="184"/>
  <c r="T143" i="184"/>
  <c r="S143" i="184"/>
  <c r="R143" i="184"/>
  <c r="Q143" i="184"/>
  <c r="P143" i="184"/>
  <c r="O143" i="184"/>
  <c r="N143" i="184"/>
  <c r="M143" i="184"/>
  <c r="L143" i="184"/>
  <c r="K143" i="184"/>
  <c r="J143" i="184"/>
  <c r="I143" i="184"/>
  <c r="H143" i="184"/>
  <c r="G143" i="184"/>
  <c r="F143" i="184"/>
  <c r="E143" i="184"/>
  <c r="AC120" i="184"/>
  <c r="AC156" i="184" s="1"/>
  <c r="AB120" i="184"/>
  <c r="AA120" i="184"/>
  <c r="AA126" i="184" s="1"/>
  <c r="Z120" i="184"/>
  <c r="Y120" i="184"/>
  <c r="Y124" i="184" s="1"/>
  <c r="X120" i="184"/>
  <c r="W120" i="184"/>
  <c r="W124" i="184" s="1"/>
  <c r="V120" i="184"/>
  <c r="V124" i="184" s="1"/>
  <c r="U120" i="184"/>
  <c r="U156" i="184" s="1"/>
  <c r="T120" i="184"/>
  <c r="T124" i="184" s="1"/>
  <c r="S120" i="184"/>
  <c r="S156" i="184" s="1"/>
  <c r="Q120" i="184"/>
  <c r="P120" i="184"/>
  <c r="P156" i="184" s="1"/>
  <c r="O120" i="184"/>
  <c r="O124" i="184" s="1"/>
  <c r="M120" i="184"/>
  <c r="M156" i="184" s="1"/>
  <c r="L120" i="184"/>
  <c r="L156" i="184" s="1"/>
  <c r="K120" i="184"/>
  <c r="K129" i="184" s="1"/>
  <c r="J120" i="184"/>
  <c r="J129" i="184" s="1"/>
  <c r="I120" i="184"/>
  <c r="I129" i="184" s="1"/>
  <c r="H120" i="184"/>
  <c r="H156" i="184" s="1"/>
  <c r="F120" i="184"/>
  <c r="F156" i="184" s="1"/>
  <c r="E120" i="184"/>
  <c r="AE118" i="184"/>
  <c r="AE117" i="184"/>
  <c r="AE116" i="184"/>
  <c r="AE114" i="184"/>
  <c r="AE150" i="184" s="1"/>
  <c r="AE113" i="184"/>
  <c r="AP113" i="184" s="1"/>
  <c r="AE112" i="184"/>
  <c r="AE148" i="184" s="1"/>
  <c r="AE110" i="184"/>
  <c r="AE146" i="184" s="1"/>
  <c r="AE109" i="184"/>
  <c r="AH105" i="184"/>
  <c r="AH104" i="184"/>
  <c r="K80" i="184"/>
  <c r="K77" i="184"/>
  <c r="K76" i="184"/>
  <c r="K75" i="184"/>
  <c r="K74" i="184"/>
  <c r="K73" i="184"/>
  <c r="K72" i="184"/>
  <c r="K71" i="184"/>
  <c r="K68" i="184"/>
  <c r="K67" i="184"/>
  <c r="N66" i="184"/>
  <c r="N79" i="184" s="1"/>
  <c r="K65" i="184"/>
  <c r="K64" i="184"/>
  <c r="K63" i="184"/>
  <c r="K62" i="184"/>
  <c r="K61" i="184"/>
  <c r="K60" i="184"/>
  <c r="K59" i="184"/>
  <c r="K58" i="184"/>
  <c r="K57" i="184"/>
  <c r="K56" i="184"/>
  <c r="K55" i="184"/>
  <c r="K54" i="184"/>
  <c r="K53" i="184"/>
  <c r="C12" i="184"/>
  <c r="A1" i="184"/>
  <c r="C4" i="184" s="1"/>
  <c r="P151" i="182"/>
  <c r="Q151" i="182"/>
  <c r="O151" i="182"/>
  <c r="AG228" i="185" l="1"/>
  <c r="AG230" i="184"/>
  <c r="Q156" i="185"/>
  <c r="AA156" i="185"/>
  <c r="AC156" i="185"/>
  <c r="AE154" i="185"/>
  <c r="U124" i="185"/>
  <c r="V124" i="185"/>
  <c r="W124" i="185"/>
  <c r="X124" i="185"/>
  <c r="AE152" i="185"/>
  <c r="L129" i="185"/>
  <c r="O156" i="185"/>
  <c r="N69" i="184"/>
  <c r="N70" i="184"/>
  <c r="G61" i="185"/>
  <c r="Q15" i="185" s="1"/>
  <c r="G68" i="185"/>
  <c r="Q22" i="185" s="1"/>
  <c r="AE148" i="185"/>
  <c r="AP112" i="185"/>
  <c r="G53" i="185"/>
  <c r="G66" i="185"/>
  <c r="Q20" i="185" s="1"/>
  <c r="G71" i="185"/>
  <c r="G78" i="185"/>
  <c r="Q40" i="185" s="1"/>
  <c r="E129" i="185"/>
  <c r="E126" i="185"/>
  <c r="E156" i="185"/>
  <c r="G89" i="185"/>
  <c r="T119" i="185" s="1"/>
  <c r="T155" i="185" s="1"/>
  <c r="AF27" i="185"/>
  <c r="G75" i="185"/>
  <c r="Q37" i="185" s="1"/>
  <c r="G92" i="185"/>
  <c r="W119" i="185" s="1"/>
  <c r="W155" i="185" s="1"/>
  <c r="W157" i="185" s="1"/>
  <c r="G55" i="185"/>
  <c r="N79" i="185"/>
  <c r="N69" i="185"/>
  <c r="N78" i="185"/>
  <c r="AP110" i="185"/>
  <c r="AE149" i="185"/>
  <c r="AP113" i="185"/>
  <c r="G63" i="185"/>
  <c r="G83" i="185"/>
  <c r="O119" i="185" s="1"/>
  <c r="O155" i="185" s="1"/>
  <c r="G86" i="185"/>
  <c r="R119" i="185" s="1"/>
  <c r="R155" i="185" s="1"/>
  <c r="G60" i="185"/>
  <c r="G70" i="185"/>
  <c r="Q24" i="185" s="1"/>
  <c r="AE145" i="185"/>
  <c r="G57" i="185"/>
  <c r="G72" i="185"/>
  <c r="G77" i="185"/>
  <c r="G84" i="185"/>
  <c r="P119" i="185" s="1"/>
  <c r="P155" i="185" s="1"/>
  <c r="G87" i="185"/>
  <c r="R120" i="185" s="1"/>
  <c r="R156" i="185" s="1"/>
  <c r="G90" i="185"/>
  <c r="U119" i="185" s="1"/>
  <c r="U155" i="185" s="1"/>
  <c r="U157" i="185" s="1"/>
  <c r="G96" i="185"/>
  <c r="AA119" i="185" s="1"/>
  <c r="AA155" i="185" s="1"/>
  <c r="AA157" i="185" s="1"/>
  <c r="G67" i="185"/>
  <c r="C181" i="185"/>
  <c r="G95" i="185"/>
  <c r="Z119" i="185" s="1"/>
  <c r="G54" i="185"/>
  <c r="G93" i="185"/>
  <c r="X119" i="185" s="1"/>
  <c r="X155" i="185" s="1"/>
  <c r="X157" i="185" s="1"/>
  <c r="G76" i="185"/>
  <c r="G69" i="185"/>
  <c r="Q23" i="185" s="1"/>
  <c r="G62" i="185"/>
  <c r="G97" i="185"/>
  <c r="AB119" i="185" s="1"/>
  <c r="AB155" i="185" s="1"/>
  <c r="G82" i="185"/>
  <c r="N120" i="185" s="1"/>
  <c r="N156" i="185" s="1"/>
  <c r="G79" i="185"/>
  <c r="Q41" i="185" s="1"/>
  <c r="G65" i="185"/>
  <c r="G58" i="185"/>
  <c r="G94" i="185"/>
  <c r="Y119" i="185" s="1"/>
  <c r="Y155" i="185" s="1"/>
  <c r="Y157" i="185" s="1"/>
  <c r="G80" i="185"/>
  <c r="G73" i="185"/>
  <c r="G59" i="185"/>
  <c r="G64" i="185"/>
  <c r="G74" i="185"/>
  <c r="AE150" i="185"/>
  <c r="AP114" i="185"/>
  <c r="G56" i="185"/>
  <c r="G81" i="185"/>
  <c r="N119" i="185" s="1"/>
  <c r="G85" i="185"/>
  <c r="Q119" i="185" s="1"/>
  <c r="Q155" i="185" s="1"/>
  <c r="Q157" i="185" s="1"/>
  <c r="G88" i="185"/>
  <c r="S119" i="185" s="1"/>
  <c r="S155" i="185" s="1"/>
  <c r="G91" i="185"/>
  <c r="V119" i="185" s="1"/>
  <c r="V155" i="185" s="1"/>
  <c r="V157" i="185" s="1"/>
  <c r="G98" i="185"/>
  <c r="AC119" i="185" s="1"/>
  <c r="AC155" i="185" s="1"/>
  <c r="AC157" i="185" s="1"/>
  <c r="P124" i="185"/>
  <c r="P156" i="185"/>
  <c r="AB126" i="185"/>
  <c r="AB156" i="185"/>
  <c r="S124" i="185"/>
  <c r="S156" i="185"/>
  <c r="AP117" i="185"/>
  <c r="P161" i="185"/>
  <c r="AB161" i="185"/>
  <c r="H129" i="185"/>
  <c r="H156" i="185"/>
  <c r="F161" i="185"/>
  <c r="M129" i="185"/>
  <c r="Y124" i="185"/>
  <c r="T156" i="185"/>
  <c r="I156" i="185"/>
  <c r="L126" i="185"/>
  <c r="J156" i="185"/>
  <c r="M126" i="185"/>
  <c r="K156" i="185"/>
  <c r="Z126" i="185"/>
  <c r="AG229" i="184"/>
  <c r="G64" i="184"/>
  <c r="I119" i="184" s="1"/>
  <c r="I155" i="184" s="1"/>
  <c r="G76" i="184"/>
  <c r="G88" i="184"/>
  <c r="S119" i="184" s="1"/>
  <c r="S155" i="184" s="1"/>
  <c r="S157" i="184" s="1"/>
  <c r="G89" i="184"/>
  <c r="T119" i="184" s="1"/>
  <c r="T155" i="184" s="1"/>
  <c r="V156" i="184"/>
  <c r="G54" i="184"/>
  <c r="G66" i="184"/>
  <c r="Q20" i="184" s="1"/>
  <c r="G78" i="184"/>
  <c r="Q40" i="184" s="1"/>
  <c r="G90" i="184"/>
  <c r="U119" i="184" s="1"/>
  <c r="U155" i="184" s="1"/>
  <c r="U157" i="184" s="1"/>
  <c r="G77" i="184"/>
  <c r="Q39" i="184" s="1"/>
  <c r="W156" i="184"/>
  <c r="G55" i="184"/>
  <c r="G67" i="184"/>
  <c r="Q21" i="184" s="1"/>
  <c r="G79" i="184"/>
  <c r="Q41" i="184" s="1"/>
  <c r="G91" i="184"/>
  <c r="V119" i="184" s="1"/>
  <c r="V155" i="184" s="1"/>
  <c r="Y156" i="184"/>
  <c r="G56" i="184"/>
  <c r="G68" i="184"/>
  <c r="G80" i="184"/>
  <c r="G92" i="184"/>
  <c r="W119" i="184" s="1"/>
  <c r="W155" i="184" s="1"/>
  <c r="P124" i="184"/>
  <c r="G57" i="184"/>
  <c r="G69" i="184"/>
  <c r="Q23" i="184" s="1"/>
  <c r="G81" i="184"/>
  <c r="N119" i="184" s="1"/>
  <c r="G93" i="184"/>
  <c r="X119" i="184" s="1"/>
  <c r="X155" i="184" s="1"/>
  <c r="U124" i="184"/>
  <c r="G58" i="184"/>
  <c r="G70" i="184"/>
  <c r="Q24" i="184" s="1"/>
  <c r="G82" i="184"/>
  <c r="N120" i="184" s="1"/>
  <c r="N156" i="184" s="1"/>
  <c r="G94" i="184"/>
  <c r="Y119" i="184" s="1"/>
  <c r="Y155" i="184" s="1"/>
  <c r="M129" i="184"/>
  <c r="G59" i="184"/>
  <c r="G71" i="184"/>
  <c r="G83" i="184"/>
  <c r="O119" i="184" s="1"/>
  <c r="O155" i="184" s="1"/>
  <c r="G95" i="184"/>
  <c r="Z119" i="184" s="1"/>
  <c r="G53" i="184"/>
  <c r="G60" i="184"/>
  <c r="E119" i="184" s="1"/>
  <c r="G72" i="184"/>
  <c r="G84" i="184"/>
  <c r="P119" i="184" s="1"/>
  <c r="P155" i="184" s="1"/>
  <c r="P157" i="184" s="1"/>
  <c r="G96" i="184"/>
  <c r="AA119" i="184" s="1"/>
  <c r="AA155" i="184" s="1"/>
  <c r="G63" i="184"/>
  <c r="G75" i="184"/>
  <c r="Q37" i="184" s="1"/>
  <c r="G87" i="184"/>
  <c r="R120" i="184" s="1"/>
  <c r="R156" i="184" s="1"/>
  <c r="G65" i="184"/>
  <c r="G61" i="184"/>
  <c r="G73" i="184"/>
  <c r="G85" i="184"/>
  <c r="Q119" i="184" s="1"/>
  <c r="Q155" i="184" s="1"/>
  <c r="G97" i="184"/>
  <c r="AB119" i="184" s="1"/>
  <c r="AB155" i="184" s="1"/>
  <c r="G62" i="184"/>
  <c r="G74" i="184"/>
  <c r="G86" i="184"/>
  <c r="R119" i="184" s="1"/>
  <c r="R155" i="184" s="1"/>
  <c r="G98" i="184"/>
  <c r="AC119" i="184" s="1"/>
  <c r="AC155" i="184" s="1"/>
  <c r="AC157" i="184" s="1"/>
  <c r="L151" i="182"/>
  <c r="M151" i="182"/>
  <c r="S124" i="184"/>
  <c r="AA156" i="184"/>
  <c r="AP110" i="184"/>
  <c r="L126" i="184"/>
  <c r="M126" i="184"/>
  <c r="AP112" i="184"/>
  <c r="AC126" i="184"/>
  <c r="J156" i="184"/>
  <c r="H129" i="184"/>
  <c r="K156" i="184"/>
  <c r="N78" i="184"/>
  <c r="AP114" i="184"/>
  <c r="AE149" i="184"/>
  <c r="L129" i="184"/>
  <c r="O156" i="184"/>
  <c r="Q156" i="184"/>
  <c r="Q124" i="184"/>
  <c r="AE153" i="184"/>
  <c r="AP117" i="184"/>
  <c r="C181" i="184"/>
  <c r="AF27" i="184"/>
  <c r="AE145" i="184"/>
  <c r="AP109" i="184"/>
  <c r="AE154" i="184"/>
  <c r="AP118" i="184"/>
  <c r="E129" i="184"/>
  <c r="E126" i="184"/>
  <c r="E156" i="184"/>
  <c r="AQ148" i="184"/>
  <c r="AE152" i="184"/>
  <c r="AP116" i="184"/>
  <c r="L161" i="184"/>
  <c r="X161" i="184"/>
  <c r="AQ154" i="184"/>
  <c r="K161" i="184"/>
  <c r="W161" i="184"/>
  <c r="AQ150" i="184"/>
  <c r="X156" i="184"/>
  <c r="X124" i="184"/>
  <c r="Z161" i="184"/>
  <c r="Z156" i="184"/>
  <c r="Z126" i="184"/>
  <c r="AQ152" i="184"/>
  <c r="AB126" i="184"/>
  <c r="AB156" i="184"/>
  <c r="AQ146" i="184"/>
  <c r="T156" i="184"/>
  <c r="I156" i="184"/>
  <c r="K151" i="182"/>
  <c r="E219" i="185" l="1"/>
  <c r="E218" i="185"/>
  <c r="D206" i="185"/>
  <c r="D194" i="185"/>
  <c r="AE234" i="185" s="1"/>
  <c r="AG234" i="185" s="1"/>
  <c r="D192" i="185"/>
  <c r="AE232" i="185" s="1"/>
  <c r="AG232" i="185" s="1"/>
  <c r="D203" i="185"/>
  <c r="D209" i="185"/>
  <c r="D195" i="185"/>
  <c r="E217" i="185"/>
  <c r="D205" i="185"/>
  <c r="D193" i="185"/>
  <c r="AE233" i="185" s="1"/>
  <c r="AG233" i="185" s="1"/>
  <c r="D204" i="185"/>
  <c r="E191" i="185"/>
  <c r="AF231" i="185" s="1"/>
  <c r="AG231" i="185" s="1"/>
  <c r="D196" i="185"/>
  <c r="E216" i="185"/>
  <c r="E215" i="185"/>
  <c r="E214" i="185"/>
  <c r="D202" i="185"/>
  <c r="D187" i="185"/>
  <c r="AE227" i="185" s="1"/>
  <c r="AG227" i="185" s="1"/>
  <c r="D200" i="185"/>
  <c r="E185" i="185"/>
  <c r="AF225" i="185" s="1"/>
  <c r="D199" i="185"/>
  <c r="D210" i="185"/>
  <c r="D197" i="185"/>
  <c r="D207" i="185"/>
  <c r="E213" i="185"/>
  <c r="E201" i="185"/>
  <c r="D186" i="185"/>
  <c r="AE226" i="185" s="1"/>
  <c r="AG226" i="185" s="1"/>
  <c r="E212" i="185"/>
  <c r="E211" i="185"/>
  <c r="D185" i="185"/>
  <c r="D198" i="185"/>
  <c r="D208" i="185"/>
  <c r="E218" i="184"/>
  <c r="D206" i="184"/>
  <c r="D194" i="184"/>
  <c r="AE234" i="184" s="1"/>
  <c r="AG234" i="184" s="1"/>
  <c r="E201" i="184"/>
  <c r="D199" i="184"/>
  <c r="D210" i="184"/>
  <c r="D208" i="184"/>
  <c r="D207" i="184"/>
  <c r="E217" i="184"/>
  <c r="D205" i="184"/>
  <c r="D193" i="184"/>
  <c r="AE233" i="184" s="1"/>
  <c r="AG233" i="184" s="1"/>
  <c r="E216" i="184"/>
  <c r="D204" i="184"/>
  <c r="D192" i="184"/>
  <c r="AE232" i="184" s="1"/>
  <c r="AG232" i="184" s="1"/>
  <c r="D202" i="184"/>
  <c r="D186" i="184"/>
  <c r="AE226" i="184" s="1"/>
  <c r="AG226" i="184" s="1"/>
  <c r="E211" i="184"/>
  <c r="D198" i="184"/>
  <c r="D197" i="184"/>
  <c r="E219" i="184"/>
  <c r="E215" i="184"/>
  <c r="D203" i="184"/>
  <c r="E191" i="184"/>
  <c r="AF231" i="184" s="1"/>
  <c r="AG231" i="184" s="1"/>
  <c r="D187" i="184"/>
  <c r="AE227" i="184" s="1"/>
  <c r="AG227" i="184" s="1"/>
  <c r="D185" i="184"/>
  <c r="AE225" i="184" s="1"/>
  <c r="D196" i="184"/>
  <c r="E214" i="184"/>
  <c r="E213" i="184"/>
  <c r="E212" i="184"/>
  <c r="D200" i="184"/>
  <c r="E185" i="184"/>
  <c r="AF225" i="184" s="1"/>
  <c r="D195" i="184"/>
  <c r="D209" i="184"/>
  <c r="V157" i="184"/>
  <c r="P157" i="185"/>
  <c r="S157" i="185"/>
  <c r="O157" i="185"/>
  <c r="W157" i="184"/>
  <c r="Y157" i="184"/>
  <c r="G120" i="185"/>
  <c r="G156" i="185" s="1"/>
  <c r="F119" i="185"/>
  <c r="F155" i="185" s="1"/>
  <c r="F157" i="185" s="1"/>
  <c r="AD113" i="185"/>
  <c r="Q11" i="185"/>
  <c r="I119" i="185"/>
  <c r="I155" i="185" s="1"/>
  <c r="I157" i="185" s="1"/>
  <c r="Q18" i="185"/>
  <c r="AD110" i="185"/>
  <c r="Q8" i="185"/>
  <c r="AE111" i="185"/>
  <c r="Q21" i="185"/>
  <c r="AD118" i="185"/>
  <c r="Q13" i="185"/>
  <c r="O157" i="184"/>
  <c r="L119" i="185"/>
  <c r="L155" i="185" s="1"/>
  <c r="L157" i="185" s="1"/>
  <c r="Q27" i="185"/>
  <c r="AB157" i="185"/>
  <c r="N155" i="185"/>
  <c r="N157" i="185" s="1"/>
  <c r="AD112" i="185"/>
  <c r="Q10" i="185"/>
  <c r="Q42" i="185"/>
  <c r="AE115" i="185"/>
  <c r="AE151" i="185" s="1"/>
  <c r="Z155" i="185"/>
  <c r="Z157" i="185" s="1"/>
  <c r="E119" i="185"/>
  <c r="Q14" i="185"/>
  <c r="AD116" i="185"/>
  <c r="Q25" i="185"/>
  <c r="M119" i="185"/>
  <c r="M155" i="185" s="1"/>
  <c r="M157" i="185" s="1"/>
  <c r="Q28" i="185"/>
  <c r="G119" i="185"/>
  <c r="G155" i="185" s="1"/>
  <c r="Q16" i="185"/>
  <c r="AE225" i="185"/>
  <c r="R157" i="185"/>
  <c r="AD114" i="185"/>
  <c r="Q12" i="185"/>
  <c r="AD115" i="185"/>
  <c r="Q38" i="185"/>
  <c r="K119" i="185"/>
  <c r="K155" i="185" s="1"/>
  <c r="K157" i="185" s="1"/>
  <c r="Q39" i="185"/>
  <c r="H119" i="185"/>
  <c r="H155" i="185" s="1"/>
  <c r="H157" i="185" s="1"/>
  <c r="Q17" i="185"/>
  <c r="AD111" i="185"/>
  <c r="Q9" i="185"/>
  <c r="AD109" i="185"/>
  <c r="Q7" i="185"/>
  <c r="J119" i="185"/>
  <c r="J155" i="185" s="1"/>
  <c r="J157" i="185" s="1"/>
  <c r="Q19" i="185"/>
  <c r="Q26" i="185"/>
  <c r="AD117" i="185"/>
  <c r="T157" i="185"/>
  <c r="N155" i="184"/>
  <c r="N157" i="184" s="1"/>
  <c r="Q14" i="184"/>
  <c r="AA157" i="184"/>
  <c r="K119" i="184"/>
  <c r="K155" i="184" s="1"/>
  <c r="K157" i="184" s="1"/>
  <c r="Q157" i="184"/>
  <c r="AE111" i="184"/>
  <c r="AE147" i="184" s="1"/>
  <c r="X157" i="184"/>
  <c r="AB157" i="184"/>
  <c r="Q18" i="184"/>
  <c r="I157" i="184"/>
  <c r="AE115" i="184"/>
  <c r="Q42" i="184"/>
  <c r="H119" i="184"/>
  <c r="H155" i="184" s="1"/>
  <c r="H157" i="184" s="1"/>
  <c r="Q17" i="184"/>
  <c r="AD114" i="184"/>
  <c r="Q12" i="184"/>
  <c r="AD117" i="184"/>
  <c r="Q26" i="184"/>
  <c r="Z155" i="184"/>
  <c r="Z157" i="184" s="1"/>
  <c r="R157" i="184"/>
  <c r="G119" i="184"/>
  <c r="G155" i="184" s="1"/>
  <c r="Q16" i="184"/>
  <c r="G120" i="184"/>
  <c r="Q22" i="184"/>
  <c r="AD115" i="184"/>
  <c r="Q38" i="184"/>
  <c r="AD110" i="184"/>
  <c r="Q8" i="184"/>
  <c r="AD112" i="184"/>
  <c r="Q10" i="184"/>
  <c r="AD113" i="184"/>
  <c r="Q11" i="184"/>
  <c r="T157" i="184"/>
  <c r="Q19" i="184"/>
  <c r="J119" i="184"/>
  <c r="J155" i="184" s="1"/>
  <c r="J157" i="184" s="1"/>
  <c r="AD111" i="184"/>
  <c r="Q9" i="184"/>
  <c r="AD118" i="184"/>
  <c r="Q13" i="184"/>
  <c r="E155" i="184"/>
  <c r="F119" i="184"/>
  <c r="Q15" i="184"/>
  <c r="AD116" i="184"/>
  <c r="Q25" i="184"/>
  <c r="Q28" i="184"/>
  <c r="M119" i="184"/>
  <c r="M155" i="184" s="1"/>
  <c r="M157" i="184" s="1"/>
  <c r="AD109" i="184"/>
  <c r="Q7" i="184"/>
  <c r="L119" i="184"/>
  <c r="L155" i="184" s="1"/>
  <c r="L157" i="184" s="1"/>
  <c r="Q27" i="184"/>
  <c r="G157" i="185" l="1"/>
  <c r="Q43" i="185"/>
  <c r="AG225" i="185"/>
  <c r="V235" i="185" s="1"/>
  <c r="AD146" i="185"/>
  <c r="AF146" i="185" s="1"/>
  <c r="AD154" i="185"/>
  <c r="AF154" i="185" s="1"/>
  <c r="Q29" i="185"/>
  <c r="Y121" i="185" a="1"/>
  <c r="Y121" i="185" s="1"/>
  <c r="S121" i="185" a="1"/>
  <c r="S121" i="185" s="1"/>
  <c r="M121" i="185" a="1"/>
  <c r="M121" i="185" s="1"/>
  <c r="G121" i="185" a="1"/>
  <c r="G121" i="185" s="1"/>
  <c r="X158" i="185" a="1"/>
  <c r="X158" i="185" s="1"/>
  <c r="X159" i="185" s="1"/>
  <c r="R158" i="185" a="1"/>
  <c r="R158" i="185" s="1"/>
  <c r="R159" i="185" s="1"/>
  <c r="L158" i="185" a="1"/>
  <c r="L158" i="185" s="1"/>
  <c r="L159" i="185" s="1"/>
  <c r="F158" i="185" a="1"/>
  <c r="F158" i="185" s="1"/>
  <c r="F159" i="185" s="1"/>
  <c r="X121" i="185" a="1"/>
  <c r="X121" i="185" s="1"/>
  <c r="R121" i="185" a="1"/>
  <c r="R121" i="185" s="1"/>
  <c r="L121" i="185" a="1"/>
  <c r="L121" i="185" s="1"/>
  <c r="F121" i="185" a="1"/>
  <c r="F121" i="185" s="1"/>
  <c r="AD145" i="185"/>
  <c r="AF145" i="185" s="1"/>
  <c r="AC121" i="185" a="1"/>
  <c r="AC121" i="185" s="1"/>
  <c r="W121" i="185" a="1"/>
  <c r="W121" i="185" s="1"/>
  <c r="Q121" i="185" a="1"/>
  <c r="Q121" i="185" s="1"/>
  <c r="K121" i="185" a="1"/>
  <c r="K121" i="185" s="1"/>
  <c r="E121" i="185" a="1"/>
  <c r="E121" i="185" s="1"/>
  <c r="AB158" i="185" a="1"/>
  <c r="AB158" i="185" s="1"/>
  <c r="AB159" i="185" s="1"/>
  <c r="V158" i="185" a="1"/>
  <c r="V158" i="185" s="1"/>
  <c r="V159" i="185" s="1"/>
  <c r="P158" i="185" a="1"/>
  <c r="P158" i="185" s="1"/>
  <c r="P159" i="185" s="1"/>
  <c r="J158" i="185" a="1"/>
  <c r="J158" i="185" s="1"/>
  <c r="J159" i="185" s="1"/>
  <c r="AB121" i="185" a="1"/>
  <c r="AB121" i="185" s="1"/>
  <c r="V121" i="185" a="1"/>
  <c r="V121" i="185" s="1"/>
  <c r="P121" i="185" a="1"/>
  <c r="P121" i="185" s="1"/>
  <c r="J121" i="185" a="1"/>
  <c r="J121" i="185" s="1"/>
  <c r="T121" i="185" a="1"/>
  <c r="T121" i="185" s="1"/>
  <c r="I158" i="185" a="1"/>
  <c r="I158" i="185" s="1"/>
  <c r="I159" i="185" s="1"/>
  <c r="H158" i="185" a="1"/>
  <c r="H158" i="185" s="1"/>
  <c r="H159" i="185" s="1"/>
  <c r="O121" i="185" a="1"/>
  <c r="O121" i="185" s="1"/>
  <c r="N121" i="185" a="1"/>
  <c r="N121" i="185" s="1"/>
  <c r="AA158" i="185" a="1"/>
  <c r="AA158" i="185" s="1"/>
  <c r="AA159" i="185" s="1"/>
  <c r="Z158" i="185" a="1"/>
  <c r="Z158" i="185" s="1"/>
  <c r="Z159" i="185" s="1"/>
  <c r="I121" i="185" a="1"/>
  <c r="I121" i="185" s="1"/>
  <c r="H121" i="185" a="1"/>
  <c r="H121" i="185" s="1"/>
  <c r="U158" i="185" a="1"/>
  <c r="U158" i="185" s="1"/>
  <c r="U159" i="185" s="1"/>
  <c r="O158" i="185" a="1"/>
  <c r="O158" i="185" s="1"/>
  <c r="O159" i="185" s="1"/>
  <c r="T158" i="185" a="1"/>
  <c r="T158" i="185" s="1"/>
  <c r="T159" i="185" s="1"/>
  <c r="AA121" i="185" a="1"/>
  <c r="AA121" i="185" s="1"/>
  <c r="N158" i="185" a="1"/>
  <c r="N158" i="185" s="1"/>
  <c r="N159" i="185" s="1"/>
  <c r="U121" i="185" a="1"/>
  <c r="U121" i="185" s="1"/>
  <c r="Z121" i="185" a="1"/>
  <c r="Z121" i="185" s="1"/>
  <c r="Q158" i="185" a="1"/>
  <c r="Q158" i="185" s="1"/>
  <c r="Q159" i="185" s="1"/>
  <c r="E158" i="185" a="1"/>
  <c r="E158" i="185" s="1"/>
  <c r="AC158" i="185" a="1"/>
  <c r="AC158" i="185" s="1"/>
  <c r="AC159" i="185" s="1"/>
  <c r="S158" i="185" a="1"/>
  <c r="S158" i="185" s="1"/>
  <c r="S159" i="185" s="1"/>
  <c r="Y158" i="185" a="1"/>
  <c r="Y158" i="185" s="1"/>
  <c r="Y159" i="185" s="1"/>
  <c r="K158" i="185" a="1"/>
  <c r="K158" i="185" s="1"/>
  <c r="K159" i="185" s="1"/>
  <c r="G158" i="185" a="1"/>
  <c r="G158" i="185" s="1"/>
  <c r="W158" i="185" a="1"/>
  <c r="W158" i="185" s="1"/>
  <c r="W159" i="185" s="1"/>
  <c r="M158" i="185" a="1"/>
  <c r="M158" i="185" s="1"/>
  <c r="M159" i="185" s="1"/>
  <c r="AE235" i="185"/>
  <c r="D236" i="185" a="1"/>
  <c r="AD150" i="185"/>
  <c r="AF150" i="185" s="1"/>
  <c r="AD151" i="185"/>
  <c r="AF151" i="185" s="1"/>
  <c r="AD147" i="185"/>
  <c r="AD149" i="185"/>
  <c r="AF149" i="185" s="1"/>
  <c r="AD148" i="185"/>
  <c r="AF148" i="185" s="1"/>
  <c r="D237" i="185" a="1"/>
  <c r="AD152" i="185"/>
  <c r="AF152" i="185" s="1"/>
  <c r="AE147" i="185"/>
  <c r="AD153" i="185"/>
  <c r="AF153" i="185" s="1"/>
  <c r="E155" i="185"/>
  <c r="AF118" i="185" a="1"/>
  <c r="AF118" i="185" s="1"/>
  <c r="AF117" i="185" a="1"/>
  <c r="AF117" i="185" s="1"/>
  <c r="AF116" i="185" a="1"/>
  <c r="AF116" i="185" s="1"/>
  <c r="AF111" i="185" a="1"/>
  <c r="AF111" i="185" s="1"/>
  <c r="AF110" i="185" a="1"/>
  <c r="AF110" i="185" s="1"/>
  <c r="AF114" i="185" a="1"/>
  <c r="AF114" i="185" s="1"/>
  <c r="AF109" i="185" a="1"/>
  <c r="AF109" i="185" s="1"/>
  <c r="AF113" i="185" a="1"/>
  <c r="AF113" i="185" s="1"/>
  <c r="AF115" i="185" a="1"/>
  <c r="AF115" i="185" s="1"/>
  <c r="AF112" i="185" a="1"/>
  <c r="AF112" i="185" s="1"/>
  <c r="AE120" i="185"/>
  <c r="AE156" i="185" s="1"/>
  <c r="Q43" i="184"/>
  <c r="AG225" i="184"/>
  <c r="Q235" i="184" s="1"/>
  <c r="AF110" i="184" a="1"/>
  <c r="AF110" i="184" s="1"/>
  <c r="AG146" i="184" s="1"/>
  <c r="AF112" i="184" a="1"/>
  <c r="AF112" i="184" s="1"/>
  <c r="AG148" i="184" s="1"/>
  <c r="AF114" i="184" a="1"/>
  <c r="AF114" i="184" s="1"/>
  <c r="AG150" i="184" s="1"/>
  <c r="AF109" i="184" a="1"/>
  <c r="AF109" i="184" s="1"/>
  <c r="AG145" i="184" s="1"/>
  <c r="AF111" i="184" a="1"/>
  <c r="AF111" i="184" s="1"/>
  <c r="AG147" i="184" s="1"/>
  <c r="AF116" i="184" a="1"/>
  <c r="AF116" i="184" s="1"/>
  <c r="AG152" i="184" s="1"/>
  <c r="AE235" i="184"/>
  <c r="D236" i="184" a="1"/>
  <c r="AC121" i="184" a="1"/>
  <c r="AC121" i="184" s="1"/>
  <c r="W121" i="184" a="1"/>
  <c r="W121" i="184" s="1"/>
  <c r="Q121" i="184" a="1"/>
  <c r="Q121" i="184" s="1"/>
  <c r="K121" i="184" a="1"/>
  <c r="K121" i="184" s="1"/>
  <c r="E121" i="184" a="1"/>
  <c r="E121" i="184" s="1"/>
  <c r="AB158" i="184" a="1"/>
  <c r="AB158" i="184" s="1"/>
  <c r="AB159" i="184" s="1"/>
  <c r="V158" i="184" a="1"/>
  <c r="V158" i="184" s="1"/>
  <c r="V159" i="184" s="1"/>
  <c r="P158" i="184" a="1"/>
  <c r="P158" i="184" s="1"/>
  <c r="P159" i="184" s="1"/>
  <c r="J158" i="184" a="1"/>
  <c r="J158" i="184" s="1"/>
  <c r="J159" i="184" s="1"/>
  <c r="AB121" i="184" a="1"/>
  <c r="AB121" i="184" s="1"/>
  <c r="V121" i="184" a="1"/>
  <c r="V121" i="184" s="1"/>
  <c r="P121" i="184" a="1"/>
  <c r="P121" i="184" s="1"/>
  <c r="J121" i="184" a="1"/>
  <c r="J121" i="184" s="1"/>
  <c r="AA121" i="184" a="1"/>
  <c r="AA121" i="184" s="1"/>
  <c r="U121" i="184" a="1"/>
  <c r="U121" i="184" s="1"/>
  <c r="O121" i="184" a="1"/>
  <c r="O121" i="184" s="1"/>
  <c r="I121" i="184" a="1"/>
  <c r="I121" i="184" s="1"/>
  <c r="N158" i="184" a="1"/>
  <c r="N158" i="184" s="1"/>
  <c r="N159" i="184" s="1"/>
  <c r="R121" i="184" a="1"/>
  <c r="R121" i="184" s="1"/>
  <c r="M158" i="184" a="1"/>
  <c r="M158" i="184" s="1"/>
  <c r="M159" i="184" s="1"/>
  <c r="L158" i="184" a="1"/>
  <c r="L158" i="184" s="1"/>
  <c r="L159" i="184" s="1"/>
  <c r="N121" i="184" a="1"/>
  <c r="N121" i="184" s="1"/>
  <c r="Z158" i="184" a="1"/>
  <c r="Z158" i="184" s="1"/>
  <c r="Z159" i="184" s="1"/>
  <c r="H158" i="184" a="1"/>
  <c r="H158" i="184" s="1"/>
  <c r="H159" i="184" s="1"/>
  <c r="M121" i="184" a="1"/>
  <c r="M121" i="184" s="1"/>
  <c r="Y158" i="184" a="1"/>
  <c r="Y158" i="184" s="1"/>
  <c r="Y159" i="184" s="1"/>
  <c r="G158" i="184" a="1"/>
  <c r="G158" i="184" s="1"/>
  <c r="Z121" i="184" a="1"/>
  <c r="Z121" i="184" s="1"/>
  <c r="L121" i="184" a="1"/>
  <c r="L121" i="184" s="1"/>
  <c r="X158" i="184" a="1"/>
  <c r="X158" i="184" s="1"/>
  <c r="X159" i="184" s="1"/>
  <c r="F158" i="184" a="1"/>
  <c r="F158" i="184" s="1"/>
  <c r="Y121" i="184" a="1"/>
  <c r="Y121" i="184" s="1"/>
  <c r="T158" i="184" a="1"/>
  <c r="T158" i="184" s="1"/>
  <c r="T159" i="184" s="1"/>
  <c r="AD145" i="184"/>
  <c r="AF145" i="184" s="1"/>
  <c r="H121" i="184" a="1"/>
  <c r="H121" i="184" s="1"/>
  <c r="T121" i="184" a="1"/>
  <c r="T121" i="184" s="1"/>
  <c r="S121" i="184" a="1"/>
  <c r="S121" i="184" s="1"/>
  <c r="G121" i="184" a="1"/>
  <c r="G121" i="184" s="1"/>
  <c r="F121" i="184" a="1"/>
  <c r="F121" i="184" s="1"/>
  <c r="R158" i="184" a="1"/>
  <c r="R158" i="184" s="1"/>
  <c r="R159" i="184" s="1"/>
  <c r="S158" i="184" a="1"/>
  <c r="S158" i="184" s="1"/>
  <c r="S159" i="184" s="1"/>
  <c r="X121" i="184" a="1"/>
  <c r="X121" i="184" s="1"/>
  <c r="AA158" i="184" a="1"/>
  <c r="AA158" i="184" s="1"/>
  <c r="AA159" i="184" s="1"/>
  <c r="E158" i="184" a="1"/>
  <c r="E158" i="184" s="1"/>
  <c r="I158" i="184" a="1"/>
  <c r="I158" i="184" s="1"/>
  <c r="I159" i="184" s="1"/>
  <c r="Q158" i="184" a="1"/>
  <c r="Q158" i="184" s="1"/>
  <c r="Q159" i="184" s="1"/>
  <c r="AC158" i="184" a="1"/>
  <c r="AC158" i="184" s="1"/>
  <c r="AC159" i="184" s="1"/>
  <c r="U158" i="184" a="1"/>
  <c r="U158" i="184" s="1"/>
  <c r="U159" i="184" s="1"/>
  <c r="K158" i="184" a="1"/>
  <c r="K158" i="184" s="1"/>
  <c r="K159" i="184" s="1"/>
  <c r="O158" i="184" a="1"/>
  <c r="O158" i="184" s="1"/>
  <c r="O159" i="184" s="1"/>
  <c r="W158" i="184" a="1"/>
  <c r="W158" i="184" s="1"/>
  <c r="W159" i="184" s="1"/>
  <c r="E157" i="184"/>
  <c r="AD150" i="184"/>
  <c r="AF150" i="184" s="1"/>
  <c r="Q29" i="184"/>
  <c r="AD149" i="184"/>
  <c r="AF149" i="184" s="1"/>
  <c r="AD148" i="184"/>
  <c r="AF148" i="184" s="1"/>
  <c r="AF117" i="184" a="1"/>
  <c r="AF117" i="184" s="1"/>
  <c r="AD147" i="184"/>
  <c r="AF147" i="184" s="1"/>
  <c r="AD154" i="184"/>
  <c r="AF154" i="184" s="1"/>
  <c r="F155" i="184"/>
  <c r="F157" i="184" s="1"/>
  <c r="AF118" i="184" a="1"/>
  <c r="AF118" i="184" s="1"/>
  <c r="AD151" i="184"/>
  <c r="AF115" i="184" a="1"/>
  <c r="AF115" i="184" s="1"/>
  <c r="AE120" i="184"/>
  <c r="AE156" i="184" s="1"/>
  <c r="AD153" i="184"/>
  <c r="AF153" i="184" s="1"/>
  <c r="AD152" i="184"/>
  <c r="AF152" i="184" s="1"/>
  <c r="D237" i="184" a="1"/>
  <c r="AE151" i="184"/>
  <c r="AF113" i="184" a="1"/>
  <c r="AF113" i="184" s="1"/>
  <c r="AD146" i="184"/>
  <c r="AF146" i="184" s="1"/>
  <c r="G156" i="184"/>
  <c r="G157" i="184" s="1"/>
  <c r="G159" i="185" l="1"/>
  <c r="S235" i="185"/>
  <c r="U235" i="185"/>
  <c r="I235" i="185"/>
  <c r="J235" i="185"/>
  <c r="H235" i="185"/>
  <c r="L235" i="185"/>
  <c r="X235" i="185"/>
  <c r="D235" i="185"/>
  <c r="E235" i="185"/>
  <c r="AB235" i="185"/>
  <c r="T235" i="185"/>
  <c r="Q235" i="185"/>
  <c r="F235" i="185"/>
  <c r="R235" i="185"/>
  <c r="W235" i="185"/>
  <c r="Z235" i="185"/>
  <c r="K235" i="185"/>
  <c r="AA235" i="185"/>
  <c r="M235" i="185"/>
  <c r="Y235" i="185"/>
  <c r="N235" i="185"/>
  <c r="G235" i="185"/>
  <c r="O235" i="185"/>
  <c r="P235" i="185"/>
  <c r="X235" i="184"/>
  <c r="D235" i="184"/>
  <c r="E235" i="184"/>
  <c r="F235" i="184"/>
  <c r="F122" i="185"/>
  <c r="G235" i="184"/>
  <c r="P235" i="184"/>
  <c r="R235" i="184"/>
  <c r="I235" i="184"/>
  <c r="U235" i="184"/>
  <c r="K235" i="184"/>
  <c r="L235" i="184"/>
  <c r="AB122" i="185"/>
  <c r="AG150" i="185"/>
  <c r="AG114" i="185"/>
  <c r="R122" i="185"/>
  <c r="V122" i="185"/>
  <c r="Z236" i="185"/>
  <c r="N236" i="185"/>
  <c r="Y236" i="185"/>
  <c r="M236" i="185"/>
  <c r="X236" i="185"/>
  <c r="L236" i="185"/>
  <c r="W236" i="185"/>
  <c r="K236" i="185"/>
  <c r="V236" i="185"/>
  <c r="J236" i="185"/>
  <c r="U236" i="185"/>
  <c r="I236" i="185"/>
  <c r="T236" i="185"/>
  <c r="H236" i="185"/>
  <c r="S236" i="185"/>
  <c r="G236" i="185"/>
  <c r="G238" i="185" s="1"/>
  <c r="AB236" i="185"/>
  <c r="P236" i="185"/>
  <c r="D236" i="185"/>
  <c r="AA236" i="185"/>
  <c r="R236" i="185"/>
  <c r="F236" i="185"/>
  <c r="O236" i="185"/>
  <c r="Q236" i="185"/>
  <c r="E236" i="185"/>
  <c r="X122" i="185"/>
  <c r="L122" i="185"/>
  <c r="AG146" i="185"/>
  <c r="AG110" i="185"/>
  <c r="Z122" i="185"/>
  <c r="N122" i="185"/>
  <c r="AG147" i="185"/>
  <c r="AG111" i="185"/>
  <c r="AF147" i="185"/>
  <c r="U122" i="185"/>
  <c r="O122" i="185"/>
  <c r="E172" i="185"/>
  <c r="H122" i="185"/>
  <c r="AG145" i="185"/>
  <c r="AG109" i="185"/>
  <c r="AG152" i="185"/>
  <c r="AG116" i="185"/>
  <c r="E122" i="185"/>
  <c r="AG153" i="185"/>
  <c r="AG117" i="185"/>
  <c r="X237" i="185"/>
  <c r="L237" i="185"/>
  <c r="W237" i="185"/>
  <c r="K237" i="185"/>
  <c r="V237" i="185"/>
  <c r="J237" i="185"/>
  <c r="U237" i="185"/>
  <c r="I237" i="185"/>
  <c r="T237" i="185"/>
  <c r="H237" i="185"/>
  <c r="S237" i="185"/>
  <c r="G237" i="185"/>
  <c r="R237" i="185"/>
  <c r="F237" i="185"/>
  <c r="Q237" i="185"/>
  <c r="E237" i="185"/>
  <c r="Z237" i="185"/>
  <c r="N237" i="185"/>
  <c r="Y237" i="185"/>
  <c r="P237" i="185"/>
  <c r="O237" i="185"/>
  <c r="M237" i="185"/>
  <c r="D237" i="185"/>
  <c r="AB237" i="185"/>
  <c r="AA237" i="185"/>
  <c r="AA122" i="185"/>
  <c r="K122" i="185"/>
  <c r="I122" i="185"/>
  <c r="AG154" i="185"/>
  <c r="AG118" i="185"/>
  <c r="Q122" i="185"/>
  <c r="G122" i="185"/>
  <c r="AH153" i="185" a="1"/>
  <c r="AH153" i="185" s="1"/>
  <c r="AH151" i="185" a="1"/>
  <c r="AH151" i="185" s="1"/>
  <c r="AH149" i="185" a="1"/>
  <c r="AH149" i="185" s="1"/>
  <c r="AH147" i="185" a="1"/>
  <c r="AH147" i="185" s="1"/>
  <c r="AH145" i="185" a="1"/>
  <c r="AH145" i="185" s="1"/>
  <c r="AI154" i="185" a="1"/>
  <c r="AI154" i="185" s="1"/>
  <c r="AI152" i="185" a="1"/>
  <c r="AI152" i="185" s="1"/>
  <c r="AI150" i="185" a="1"/>
  <c r="AI150" i="185" s="1"/>
  <c r="AI148" i="185" a="1"/>
  <c r="AI148" i="185" s="1"/>
  <c r="AI146" i="185" a="1"/>
  <c r="AI146" i="185" s="1"/>
  <c r="E157" i="185"/>
  <c r="AH154" i="185" a="1"/>
  <c r="AH154" i="185" s="1"/>
  <c r="AH152" i="185" a="1"/>
  <c r="AH152" i="185" s="1"/>
  <c r="AH150" i="185" a="1"/>
  <c r="AH150" i="185" s="1"/>
  <c r="AH148" i="185" a="1"/>
  <c r="AH148" i="185" s="1"/>
  <c r="AH146" i="185" a="1"/>
  <c r="AH146" i="185" s="1"/>
  <c r="AI153" i="185" a="1"/>
  <c r="AI153" i="185" s="1"/>
  <c r="AI151" i="185" a="1"/>
  <c r="AI151" i="185" s="1"/>
  <c r="AI149" i="185" a="1"/>
  <c r="AI149" i="185" s="1"/>
  <c r="AI147" i="185" a="1"/>
  <c r="AI147" i="185" s="1"/>
  <c r="AI145" i="185" a="1"/>
  <c r="AI145" i="185" s="1"/>
  <c r="T122" i="185"/>
  <c r="W122" i="185"/>
  <c r="M122" i="185"/>
  <c r="AG148" i="185"/>
  <c r="AG112" i="185"/>
  <c r="J122" i="185"/>
  <c r="AC122" i="185"/>
  <c r="S122" i="185"/>
  <c r="AG149" i="185"/>
  <c r="AG113" i="185"/>
  <c r="AG151" i="185"/>
  <c r="AG115" i="185"/>
  <c r="P122" i="185"/>
  <c r="Y122" i="185"/>
  <c r="AB235" i="184"/>
  <c r="W235" i="184"/>
  <c r="V235" i="184"/>
  <c r="M235" i="184"/>
  <c r="Y235" i="184"/>
  <c r="N235" i="184"/>
  <c r="S235" i="184"/>
  <c r="Z235" i="184"/>
  <c r="H235" i="184"/>
  <c r="O235" i="184"/>
  <c r="T235" i="184"/>
  <c r="AA235" i="184"/>
  <c r="J235" i="184"/>
  <c r="AG110" i="184"/>
  <c r="V122" i="184"/>
  <c r="AF151" i="184"/>
  <c r="AK152" i="184" s="1"/>
  <c r="AJ152" i="184" s="1"/>
  <c r="X237" i="184"/>
  <c r="L237" i="184"/>
  <c r="W237" i="184"/>
  <c r="K237" i="184"/>
  <c r="V237" i="184"/>
  <c r="J237" i="184"/>
  <c r="U237" i="184"/>
  <c r="I237" i="184"/>
  <c r="T237" i="184"/>
  <c r="H237" i="184"/>
  <c r="S237" i="184"/>
  <c r="G237" i="184"/>
  <c r="R237" i="184"/>
  <c r="F237" i="184"/>
  <c r="Q237" i="184"/>
  <c r="E237" i="184"/>
  <c r="AB237" i="184"/>
  <c r="P237" i="184"/>
  <c r="D237" i="184"/>
  <c r="AA237" i="184"/>
  <c r="O237" i="184"/>
  <c r="Z237" i="184"/>
  <c r="N237" i="184"/>
  <c r="Y237" i="184"/>
  <c r="M237" i="184"/>
  <c r="AG154" i="184"/>
  <c r="AG118" i="184"/>
  <c r="AG111" i="184"/>
  <c r="AI146" i="184" a="1"/>
  <c r="AI146" i="184" s="1"/>
  <c r="G122" i="184"/>
  <c r="U122" i="184"/>
  <c r="K122" i="184"/>
  <c r="AI150" i="184" a="1"/>
  <c r="AI150" i="184" s="1"/>
  <c r="S122" i="184"/>
  <c r="M122" i="184"/>
  <c r="AA122" i="184"/>
  <c r="Q122" i="184"/>
  <c r="T122" i="184"/>
  <c r="AI147" i="184" a="1"/>
  <c r="AI147" i="184" s="1"/>
  <c r="N122" i="184"/>
  <c r="AI151" i="184" a="1"/>
  <c r="AI151" i="184" s="1"/>
  <c r="AG115" i="184"/>
  <c r="AG151" i="184"/>
  <c r="AI153" i="184" a="1"/>
  <c r="AI153" i="184" s="1"/>
  <c r="AH151" i="184" a="1"/>
  <c r="AH151" i="184" s="1"/>
  <c r="E159" i="184"/>
  <c r="Y122" i="184"/>
  <c r="AB122" i="184"/>
  <c r="Z236" i="184"/>
  <c r="N236" i="184"/>
  <c r="Y236" i="184"/>
  <c r="M236" i="184"/>
  <c r="X236" i="184"/>
  <c r="L236" i="184"/>
  <c r="W236" i="184"/>
  <c r="K236" i="184"/>
  <c r="V236" i="184"/>
  <c r="J236" i="184"/>
  <c r="U236" i="184"/>
  <c r="I236" i="184"/>
  <c r="T236" i="184"/>
  <c r="H236" i="184"/>
  <c r="S236" i="184"/>
  <c r="G236" i="184"/>
  <c r="R236" i="184"/>
  <c r="F236" i="184"/>
  <c r="Q236" i="184"/>
  <c r="E236" i="184"/>
  <c r="AB236" i="184"/>
  <c r="P236" i="184"/>
  <c r="D236" i="184"/>
  <c r="AA236" i="184"/>
  <c r="O236" i="184"/>
  <c r="W122" i="184"/>
  <c r="AH145" i="184" a="1"/>
  <c r="AH145" i="184" s="1"/>
  <c r="AG116" i="184"/>
  <c r="P122" i="184"/>
  <c r="AH149" i="184" a="1"/>
  <c r="AH149" i="184" s="1"/>
  <c r="E172" i="184"/>
  <c r="AH146" i="184" a="1"/>
  <c r="AH146" i="184" s="1"/>
  <c r="AH153" i="184" a="1"/>
  <c r="AH153" i="184" s="1"/>
  <c r="F159" i="184"/>
  <c r="AG109" i="184"/>
  <c r="J122" i="184"/>
  <c r="AH147" i="184" a="1"/>
  <c r="AH147" i="184" s="1"/>
  <c r="AG114" i="184"/>
  <c r="AH148" i="184" a="1"/>
  <c r="AH148" i="184" s="1"/>
  <c r="AG112" i="184"/>
  <c r="X122" i="184"/>
  <c r="R122" i="184"/>
  <c r="L122" i="184"/>
  <c r="AI145" i="184" a="1"/>
  <c r="AI145" i="184" s="1"/>
  <c r="AC122" i="184"/>
  <c r="AI149" i="184" a="1"/>
  <c r="AI149" i="184" s="1"/>
  <c r="AI152" i="184" a="1"/>
  <c r="AI152" i="184" s="1"/>
  <c r="AG153" i="184"/>
  <c r="AG117" i="184"/>
  <c r="AI154" i="184" a="1"/>
  <c r="AI154" i="184" s="1"/>
  <c r="AH152" i="184" a="1"/>
  <c r="AH152" i="184" s="1"/>
  <c r="Z122" i="184"/>
  <c r="I122" i="184"/>
  <c r="H122" i="184"/>
  <c r="AG113" i="184"/>
  <c r="AG149" i="184"/>
  <c r="AH150" i="184" a="1"/>
  <c r="AH150" i="184" s="1"/>
  <c r="AI148" i="184" a="1"/>
  <c r="AI148" i="184" s="1"/>
  <c r="AH154" i="184" a="1"/>
  <c r="AH154" i="184" s="1"/>
  <c r="F122" i="184"/>
  <c r="G159" i="184"/>
  <c r="O122" i="184"/>
  <c r="E122" i="184"/>
  <c r="R238" i="184" l="1"/>
  <c r="R239" i="184" s="1"/>
  <c r="F238" i="184"/>
  <c r="F239" i="184" s="1"/>
  <c r="L238" i="184"/>
  <c r="L239" i="184" s="1"/>
  <c r="Q238" i="184"/>
  <c r="Q239" i="184" s="1"/>
  <c r="P238" i="184"/>
  <c r="P239" i="184" s="1"/>
  <c r="E238" i="184"/>
  <c r="E239" i="184" s="1"/>
  <c r="K238" i="184"/>
  <c r="K239" i="184" s="1"/>
  <c r="M238" i="185"/>
  <c r="M239" i="185" s="1"/>
  <c r="H238" i="185"/>
  <c r="H239" i="185" s="1"/>
  <c r="N238" i="185"/>
  <c r="N239" i="185" s="1"/>
  <c r="E238" i="185"/>
  <c r="E239" i="185" s="1"/>
  <c r="Q238" i="185"/>
  <c r="Q239" i="185" s="1"/>
  <c r="O238" i="185"/>
  <c r="O239" i="185" s="1"/>
  <c r="G239" i="185"/>
  <c r="AK148" i="185"/>
  <c r="AJ148" i="185" s="1"/>
  <c r="AL148" i="185" s="1"/>
  <c r="AK145" i="185"/>
  <c r="AJ145" i="185" s="1"/>
  <c r="AL145" i="185" s="1"/>
  <c r="AF155" i="185"/>
  <c r="AK149" i="185"/>
  <c r="AJ149" i="185" s="1"/>
  <c r="AL149" i="185" s="1"/>
  <c r="AK150" i="185"/>
  <c r="AJ150" i="185" s="1"/>
  <c r="AL150" i="185" s="1"/>
  <c r="AF155" i="184"/>
  <c r="AK151" i="185"/>
  <c r="AJ151" i="185" s="1"/>
  <c r="AL151" i="185" s="1"/>
  <c r="Y238" i="185"/>
  <c r="Y239" i="185" s="1"/>
  <c r="Z238" i="185"/>
  <c r="Z239" i="185" s="1"/>
  <c r="U238" i="185"/>
  <c r="U239" i="185" s="1"/>
  <c r="AK154" i="185"/>
  <c r="AJ154" i="185" s="1"/>
  <c r="AL154" i="185" s="1"/>
  <c r="S238" i="185"/>
  <c r="S239" i="185" s="1"/>
  <c r="T238" i="185"/>
  <c r="T239" i="185" s="1"/>
  <c r="AK146" i="185"/>
  <c r="AJ146" i="185" s="1"/>
  <c r="AL146" i="185" s="1"/>
  <c r="AK147" i="185"/>
  <c r="AJ147" i="185" s="1"/>
  <c r="I238" i="185"/>
  <c r="I239" i="185" s="1"/>
  <c r="F238" i="185"/>
  <c r="F239" i="185" s="1"/>
  <c r="J238" i="185"/>
  <c r="J239" i="185" s="1"/>
  <c r="E159" i="185"/>
  <c r="E175" i="185" s="1"/>
  <c r="F172" i="185" s="1"/>
  <c r="F175" i="185" s="1"/>
  <c r="AK152" i="185"/>
  <c r="AJ152" i="185" s="1"/>
  <c r="AL152" i="185" s="1"/>
  <c r="R238" i="185"/>
  <c r="R239" i="185" s="1"/>
  <c r="V238" i="185"/>
  <c r="V239" i="185" s="1"/>
  <c r="M238" i="184"/>
  <c r="M239" i="184" s="1"/>
  <c r="AA238" i="185"/>
  <c r="AA239" i="185" s="1"/>
  <c r="K238" i="185"/>
  <c r="K239" i="185" s="1"/>
  <c r="AK153" i="185"/>
  <c r="AJ153" i="185" s="1"/>
  <c r="AL153" i="185" s="1"/>
  <c r="D238" i="185"/>
  <c r="W238" i="185"/>
  <c r="W239" i="185" s="1"/>
  <c r="AK146" i="184"/>
  <c r="AJ146" i="184" s="1"/>
  <c r="AL146" i="184" s="1"/>
  <c r="P238" i="185"/>
  <c r="P239" i="185" s="1"/>
  <c r="L238" i="185"/>
  <c r="L239" i="185" s="1"/>
  <c r="AB238" i="185"/>
  <c r="AB239" i="185" s="1"/>
  <c r="X238" i="185"/>
  <c r="X239" i="185" s="1"/>
  <c r="W238" i="184"/>
  <c r="W239" i="184" s="1"/>
  <c r="G238" i="184"/>
  <c r="G239" i="184" s="1"/>
  <c r="AK150" i="184"/>
  <c r="AJ150" i="184" s="1"/>
  <c r="AL150" i="184" s="1"/>
  <c r="AK149" i="184"/>
  <c r="AJ149" i="184" s="1"/>
  <c r="AL149" i="184" s="1"/>
  <c r="AK147" i="184"/>
  <c r="AJ147" i="184" s="1"/>
  <c r="AL147" i="184" s="1"/>
  <c r="AK153" i="184"/>
  <c r="AJ153" i="184" s="1"/>
  <c r="AL153" i="184" s="1"/>
  <c r="AK154" i="184"/>
  <c r="AJ154" i="184" s="1"/>
  <c r="AL154" i="184" s="1"/>
  <c r="Y238" i="184"/>
  <c r="Y239" i="184" s="1"/>
  <c r="X238" i="184"/>
  <c r="X239" i="184" s="1"/>
  <c r="AB238" i="184"/>
  <c r="AB239" i="184" s="1"/>
  <c r="V238" i="184"/>
  <c r="V239" i="184" s="1"/>
  <c r="AK148" i="184"/>
  <c r="AJ148" i="184" s="1"/>
  <c r="AL148" i="184" s="1"/>
  <c r="AK145" i="184"/>
  <c r="AJ145" i="184" s="1"/>
  <c r="AK151" i="184"/>
  <c r="AJ151" i="184" s="1"/>
  <c r="AL151" i="184" s="1"/>
  <c r="J238" i="184"/>
  <c r="J239" i="184" s="1"/>
  <c r="AL152" i="184"/>
  <c r="H238" i="184"/>
  <c r="H239" i="184" s="1"/>
  <c r="N238" i="184"/>
  <c r="N239" i="184" s="1"/>
  <c r="O238" i="184"/>
  <c r="O239" i="184" s="1"/>
  <c r="T238" i="184"/>
  <c r="T239" i="184" s="1"/>
  <c r="Z238" i="184"/>
  <c r="Z239" i="184" s="1"/>
  <c r="AM152" i="184"/>
  <c r="AA238" i="184"/>
  <c r="AA239" i="184" s="1"/>
  <c r="I238" i="184"/>
  <c r="I239" i="184" s="1"/>
  <c r="D238" i="184"/>
  <c r="U238" i="184"/>
  <c r="U239" i="184" s="1"/>
  <c r="E175" i="184"/>
  <c r="F172" i="184" s="1"/>
  <c r="F175" i="184" s="1"/>
  <c r="S238" i="184"/>
  <c r="S239" i="184" s="1"/>
  <c r="AM148" i="185" l="1"/>
  <c r="AM149" i="185"/>
  <c r="AM145" i="185"/>
  <c r="AM150" i="185"/>
  <c r="AM151" i="185"/>
  <c r="AM152" i="185"/>
  <c r="AL147" i="185"/>
  <c r="E171" i="185" s="1"/>
  <c r="AJ155" i="185"/>
  <c r="AC234" i="185"/>
  <c r="AC229" i="185"/>
  <c r="AD230" i="185"/>
  <c r="AC230" i="185"/>
  <c r="AD231" i="185"/>
  <c r="AD225" i="185"/>
  <c r="AC231" i="185"/>
  <c r="AC225" i="185"/>
  <c r="D239" i="185"/>
  <c r="AD232" i="185"/>
  <c r="AD226" i="185"/>
  <c r="AC232" i="185"/>
  <c r="AC226" i="185"/>
  <c r="AD233" i="185"/>
  <c r="AD227" i="185"/>
  <c r="AC228" i="185"/>
  <c r="AD229" i="185"/>
  <c r="AD228" i="185"/>
  <c r="AD234" i="185"/>
  <c r="AC233" i="185"/>
  <c r="AC227" i="185"/>
  <c r="AI228" i="185"/>
  <c r="AI229" i="185"/>
  <c r="AI230" i="185"/>
  <c r="AI227" i="185"/>
  <c r="AI225" i="185"/>
  <c r="AI231" i="185"/>
  <c r="AI234" i="185"/>
  <c r="AI233" i="185"/>
  <c r="AI232" i="185"/>
  <c r="AI226" i="185"/>
  <c r="AM147" i="185"/>
  <c r="AM146" i="184"/>
  <c r="AK155" i="185"/>
  <c r="AM146" i="185"/>
  <c r="AM154" i="185"/>
  <c r="AM153" i="185"/>
  <c r="AM149" i="184"/>
  <c r="AM150" i="184"/>
  <c r="AM147" i="184"/>
  <c r="AM153" i="184"/>
  <c r="AM154" i="184"/>
  <c r="AM148" i="184"/>
  <c r="AJ155" i="184"/>
  <c r="AM145" i="184"/>
  <c r="AL145" i="184"/>
  <c r="E171" i="184" s="1"/>
  <c r="AM151" i="184"/>
  <c r="AK155" i="184"/>
  <c r="AC234" i="184"/>
  <c r="AC229" i="184"/>
  <c r="AD230" i="184"/>
  <c r="AC230" i="184"/>
  <c r="AD231" i="184"/>
  <c r="AD225" i="184"/>
  <c r="AC231" i="184"/>
  <c r="AI228" i="184"/>
  <c r="AC225" i="184"/>
  <c r="D239" i="184"/>
  <c r="AD232" i="184"/>
  <c r="AD226" i="184"/>
  <c r="AC232" i="184"/>
  <c r="AC226" i="184"/>
  <c r="AD233" i="184"/>
  <c r="AD227" i="184"/>
  <c r="AC233" i="184"/>
  <c r="AC227" i="184"/>
  <c r="AD228" i="184"/>
  <c r="AC228" i="184"/>
  <c r="AD229" i="184"/>
  <c r="AD234" i="184"/>
  <c r="AI229" i="184"/>
  <c r="AI230" i="184"/>
  <c r="AI226" i="184"/>
  <c r="AI234" i="184"/>
  <c r="AI233" i="184"/>
  <c r="AI231" i="184"/>
  <c r="AI225" i="184"/>
  <c r="AI227" i="184"/>
  <c r="AI232" i="184"/>
  <c r="E174" i="185" l="1"/>
  <c r="E176" i="185" s="1"/>
  <c r="E173" i="185"/>
  <c r="AK232" i="185"/>
  <c r="AH232" i="185"/>
  <c r="AJ232" i="185" s="1"/>
  <c r="AK233" i="185"/>
  <c r="AH233" i="185"/>
  <c r="AJ233" i="185" s="1"/>
  <c r="AK231" i="185"/>
  <c r="AH231" i="185"/>
  <c r="AJ231" i="185" s="1"/>
  <c r="AK225" i="185"/>
  <c r="AH225" i="185"/>
  <c r="AK226" i="185"/>
  <c r="AH226" i="185"/>
  <c r="AJ226" i="185" s="1"/>
  <c r="AK227" i="185"/>
  <c r="AH227" i="185"/>
  <c r="AJ227" i="185" s="1"/>
  <c r="AK230" i="185"/>
  <c r="AH230" i="185"/>
  <c r="AJ230" i="185" s="1"/>
  <c r="AK229" i="185"/>
  <c r="AH229" i="185"/>
  <c r="AJ229" i="185" s="1"/>
  <c r="AK228" i="185"/>
  <c r="AH228" i="185"/>
  <c r="AJ228" i="185" s="1"/>
  <c r="AK234" i="185"/>
  <c r="AH234" i="185"/>
  <c r="AJ234" i="185" s="1"/>
  <c r="E254" i="185"/>
  <c r="E251" i="185"/>
  <c r="E174" i="184"/>
  <c r="E176" i="184" s="1"/>
  <c r="AK228" i="184"/>
  <c r="AH228" i="184"/>
  <c r="AJ228" i="184" s="1"/>
  <c r="E254" i="184"/>
  <c r="E251" i="184"/>
  <c r="AK225" i="184"/>
  <c r="AH225" i="184"/>
  <c r="AK231" i="184"/>
  <c r="AH231" i="184"/>
  <c r="AJ231" i="184" s="1"/>
  <c r="AK232" i="184"/>
  <c r="AH232" i="184"/>
  <c r="AJ232" i="184" s="1"/>
  <c r="AK233" i="184"/>
  <c r="AH233" i="184"/>
  <c r="AJ233" i="184" s="1"/>
  <c r="AK234" i="184"/>
  <c r="AH234" i="184"/>
  <c r="AJ234" i="184" s="1"/>
  <c r="E173" i="184"/>
  <c r="AK226" i="184"/>
  <c r="AH226" i="184"/>
  <c r="AJ226" i="184" s="1"/>
  <c r="AK227" i="184"/>
  <c r="AH227" i="184"/>
  <c r="AJ227" i="184" s="1"/>
  <c r="AK230" i="184"/>
  <c r="AH230" i="184"/>
  <c r="AJ230" i="184" s="1"/>
  <c r="AK229" i="184"/>
  <c r="AH229" i="184"/>
  <c r="AJ229" i="184" s="1"/>
  <c r="F171" i="185" l="1"/>
  <c r="F174" i="185" s="1"/>
  <c r="E177" i="185"/>
  <c r="AJ225" i="185"/>
  <c r="E250" i="185" s="1"/>
  <c r="E252" i="185" s="1"/>
  <c r="E253" i="185"/>
  <c r="E255" i="185" s="1"/>
  <c r="F171" i="184"/>
  <c r="F174" i="184" s="1"/>
  <c r="E177" i="184"/>
  <c r="AJ225" i="184"/>
  <c r="E250" i="184" s="1"/>
  <c r="E252" i="184" s="1"/>
  <c r="E253" i="184"/>
  <c r="E255" i="184" s="1"/>
  <c r="N66" i="183" l="1"/>
  <c r="N79" i="183" s="1"/>
  <c r="O36" i="182"/>
  <c r="O51" i="183" s="1"/>
  <c r="O51" i="184"/>
  <c r="R56" i="182"/>
  <c r="S56" i="182"/>
  <c r="T56" i="182"/>
  <c r="R57" i="182"/>
  <c r="S57" i="182"/>
  <c r="T57" i="182"/>
  <c r="R58" i="182"/>
  <c r="S58" i="182"/>
  <c r="T58" i="182"/>
  <c r="R59" i="182"/>
  <c r="S59" i="182"/>
  <c r="T59" i="182"/>
  <c r="R60" i="182"/>
  <c r="S60" i="182"/>
  <c r="T60" i="182"/>
  <c r="R61" i="182"/>
  <c r="S61" i="182"/>
  <c r="T61" i="182"/>
  <c r="R62" i="182"/>
  <c r="S62" i="182"/>
  <c r="T62" i="182"/>
  <c r="R63" i="182"/>
  <c r="S63" i="182"/>
  <c r="T63" i="182"/>
  <c r="R64" i="182"/>
  <c r="S64" i="182"/>
  <c r="T64" i="182"/>
  <c r="R65" i="182"/>
  <c r="S65" i="182"/>
  <c r="T65" i="182"/>
  <c r="R66" i="182"/>
  <c r="S66" i="182"/>
  <c r="T66" i="182"/>
  <c r="R67" i="182"/>
  <c r="S67" i="182"/>
  <c r="T67" i="182"/>
  <c r="R68" i="182"/>
  <c r="S68" i="182"/>
  <c r="T68" i="182"/>
  <c r="R69" i="182"/>
  <c r="S69" i="182"/>
  <c r="T69" i="182"/>
  <c r="R70" i="182"/>
  <c r="S70" i="182"/>
  <c r="T70" i="182"/>
  <c r="R71" i="182"/>
  <c r="S71" i="182"/>
  <c r="T71" i="182"/>
  <c r="R72" i="182"/>
  <c r="S72" i="182"/>
  <c r="T72" i="182"/>
  <c r="R73" i="182"/>
  <c r="S73" i="182"/>
  <c r="T73" i="182"/>
  <c r="R74" i="182"/>
  <c r="S74" i="182"/>
  <c r="T74" i="182"/>
  <c r="R75" i="182"/>
  <c r="S75" i="182"/>
  <c r="T75" i="182"/>
  <c r="R76" i="182"/>
  <c r="S76" i="182"/>
  <c r="T76" i="182"/>
  <c r="R77" i="182"/>
  <c r="S77" i="182"/>
  <c r="T77" i="182"/>
  <c r="R78" i="182"/>
  <c r="S78" i="182"/>
  <c r="T78" i="182"/>
  <c r="R79" i="182"/>
  <c r="S79" i="182"/>
  <c r="T79" i="182"/>
  <c r="R80" i="182"/>
  <c r="S80" i="182"/>
  <c r="T80" i="182"/>
  <c r="R81" i="182"/>
  <c r="S81" i="182"/>
  <c r="T81" i="182"/>
  <c r="R82" i="182"/>
  <c r="S82" i="182"/>
  <c r="T82" i="182"/>
  <c r="R83" i="182"/>
  <c r="S83" i="182"/>
  <c r="T83" i="182"/>
  <c r="R84" i="182"/>
  <c r="S84" i="182"/>
  <c r="T84" i="182"/>
  <c r="R85" i="182"/>
  <c r="S85" i="182"/>
  <c r="T85" i="182"/>
  <c r="R86" i="182"/>
  <c r="S86" i="182"/>
  <c r="T86" i="182"/>
  <c r="R87" i="182"/>
  <c r="S87" i="182"/>
  <c r="T87" i="182"/>
  <c r="R88" i="182"/>
  <c r="S88" i="182"/>
  <c r="T88" i="182"/>
  <c r="R89" i="182"/>
  <c r="S89" i="182"/>
  <c r="T89" i="182"/>
  <c r="R90" i="182"/>
  <c r="S90" i="182"/>
  <c r="T90" i="182"/>
  <c r="R91" i="182"/>
  <c r="S91" i="182"/>
  <c r="T91" i="182"/>
  <c r="R92" i="182"/>
  <c r="S92" i="182"/>
  <c r="T92" i="182"/>
  <c r="R93" i="182"/>
  <c r="S93" i="182"/>
  <c r="T93" i="182"/>
  <c r="R94" i="182"/>
  <c r="S94" i="182"/>
  <c r="T94" i="182"/>
  <c r="R95" i="182"/>
  <c r="S95" i="182"/>
  <c r="T95" i="182"/>
  <c r="R96" i="182"/>
  <c r="S96" i="182"/>
  <c r="T96" i="182"/>
  <c r="R97" i="182"/>
  <c r="S97" i="182"/>
  <c r="T97" i="182"/>
  <c r="R98" i="182"/>
  <c r="S98" i="182"/>
  <c r="T98" i="182"/>
  <c r="R99" i="182"/>
  <c r="S99" i="182"/>
  <c r="T99" i="182"/>
  <c r="R100" i="182"/>
  <c r="S100" i="182"/>
  <c r="T100" i="182"/>
  <c r="T55" i="182"/>
  <c r="S55" i="182"/>
  <c r="R55" i="182"/>
  <c r="X13" i="182"/>
  <c r="X12" i="182"/>
  <c r="X11" i="182"/>
  <c r="Q24" i="182"/>
  <c r="P24" i="182"/>
  <c r="O24" i="182"/>
  <c r="Q23" i="182"/>
  <c r="P23" i="182"/>
  <c r="O23" i="182"/>
  <c r="Q22" i="182"/>
  <c r="P22" i="182"/>
  <c r="O22" i="182"/>
  <c r="Q21" i="182"/>
  <c r="P21" i="182"/>
  <c r="O21" i="182"/>
  <c r="Q19" i="182" l="1"/>
  <c r="Q20" i="182"/>
  <c r="H53" i="185"/>
  <c r="S7" i="185" s="1"/>
  <c r="T7" i="185" s="1"/>
  <c r="H98" i="185"/>
  <c r="H94" i="185"/>
  <c r="H90" i="185"/>
  <c r="H86" i="185"/>
  <c r="H82" i="185"/>
  <c r="H78" i="185"/>
  <c r="S40" i="185" s="1"/>
  <c r="T40" i="185" s="1"/>
  <c r="H74" i="185"/>
  <c r="S28" i="185" s="1"/>
  <c r="T28" i="185" s="1"/>
  <c r="H70" i="185"/>
  <c r="S24" i="185" s="1"/>
  <c r="T24" i="185" s="1"/>
  <c r="H66" i="185"/>
  <c r="S20" i="185" s="1"/>
  <c r="T20" i="185" s="1"/>
  <c r="H62" i="185"/>
  <c r="S16" i="185" s="1"/>
  <c r="T16" i="185" s="1"/>
  <c r="H58" i="185"/>
  <c r="S12" i="185" s="1"/>
  <c r="T12" i="185" s="1"/>
  <c r="H54" i="185"/>
  <c r="S8" i="185" s="1"/>
  <c r="T8" i="185" s="1"/>
  <c r="H98" i="184"/>
  <c r="H94" i="184"/>
  <c r="H90" i="184"/>
  <c r="H86" i="184"/>
  <c r="H82" i="184"/>
  <c r="H78" i="184"/>
  <c r="S40" i="184" s="1"/>
  <c r="T40" i="184" s="1"/>
  <c r="H74" i="184"/>
  <c r="S28" i="184" s="1"/>
  <c r="T28" i="184" s="1"/>
  <c r="H70" i="184"/>
  <c r="S24" i="184" s="1"/>
  <c r="T24" i="184" s="1"/>
  <c r="H66" i="184"/>
  <c r="S20" i="184" s="1"/>
  <c r="T20" i="184" s="1"/>
  <c r="H62" i="184"/>
  <c r="S16" i="184" s="1"/>
  <c r="T16" i="184" s="1"/>
  <c r="H58" i="184"/>
  <c r="S12" i="184" s="1"/>
  <c r="T12" i="184" s="1"/>
  <c r="H54" i="184"/>
  <c r="S8" i="184" s="1"/>
  <c r="T8" i="184" s="1"/>
  <c r="H97" i="185"/>
  <c r="H93" i="185"/>
  <c r="H89" i="185"/>
  <c r="H85" i="185"/>
  <c r="H81" i="185"/>
  <c r="H77" i="185"/>
  <c r="S39" i="185" s="1"/>
  <c r="T39" i="185" s="1"/>
  <c r="H73" i="185"/>
  <c r="S27" i="185" s="1"/>
  <c r="T27" i="185" s="1"/>
  <c r="H69" i="185"/>
  <c r="S23" i="185" s="1"/>
  <c r="T23" i="185" s="1"/>
  <c r="H65" i="185"/>
  <c r="S19" i="185" s="1"/>
  <c r="T19" i="185" s="1"/>
  <c r="H61" i="185"/>
  <c r="S15" i="185" s="1"/>
  <c r="T15" i="185" s="1"/>
  <c r="H57" i="185"/>
  <c r="S11" i="185" s="1"/>
  <c r="T11" i="185" s="1"/>
  <c r="H97" i="184"/>
  <c r="H93" i="184"/>
  <c r="H89" i="184"/>
  <c r="H85" i="184"/>
  <c r="H81" i="184"/>
  <c r="H77" i="184"/>
  <c r="S39" i="184" s="1"/>
  <c r="T39" i="184" s="1"/>
  <c r="H73" i="184"/>
  <c r="S27" i="184" s="1"/>
  <c r="T27" i="184" s="1"/>
  <c r="H69" i="184"/>
  <c r="S23" i="184" s="1"/>
  <c r="T23" i="184" s="1"/>
  <c r="H65" i="184"/>
  <c r="S19" i="184" s="1"/>
  <c r="T19" i="184" s="1"/>
  <c r="H61" i="184"/>
  <c r="S15" i="184" s="1"/>
  <c r="T15" i="184" s="1"/>
  <c r="H57" i="184"/>
  <c r="S11" i="184" s="1"/>
  <c r="T11" i="184" s="1"/>
  <c r="H96" i="185"/>
  <c r="H92" i="185"/>
  <c r="H88" i="185"/>
  <c r="H84" i="185"/>
  <c r="H80" i="185"/>
  <c r="S42" i="185" s="1"/>
  <c r="T42" i="185" s="1"/>
  <c r="H76" i="185"/>
  <c r="S38" i="185" s="1"/>
  <c r="T38" i="185" s="1"/>
  <c r="H72" i="185"/>
  <c r="S26" i="185" s="1"/>
  <c r="T26" i="185" s="1"/>
  <c r="H68" i="185"/>
  <c r="S22" i="185" s="1"/>
  <c r="T22" i="185" s="1"/>
  <c r="H64" i="185"/>
  <c r="S18" i="185" s="1"/>
  <c r="T18" i="185" s="1"/>
  <c r="H60" i="185"/>
  <c r="S14" i="185" s="1"/>
  <c r="T14" i="185" s="1"/>
  <c r="H56" i="185"/>
  <c r="S10" i="185" s="1"/>
  <c r="T10" i="185" s="1"/>
  <c r="H96" i="184"/>
  <c r="H92" i="184"/>
  <c r="H88" i="184"/>
  <c r="H84" i="184"/>
  <c r="H80" i="184"/>
  <c r="S42" i="184" s="1"/>
  <c r="T42" i="184" s="1"/>
  <c r="H76" i="184"/>
  <c r="S38" i="184" s="1"/>
  <c r="T38" i="184" s="1"/>
  <c r="H72" i="184"/>
  <c r="S26" i="184" s="1"/>
  <c r="T26" i="184" s="1"/>
  <c r="H68" i="184"/>
  <c r="S22" i="184" s="1"/>
  <c r="T22" i="184" s="1"/>
  <c r="H64" i="184"/>
  <c r="S18" i="184" s="1"/>
  <c r="T18" i="184" s="1"/>
  <c r="H60" i="184"/>
  <c r="S14" i="184" s="1"/>
  <c r="T14" i="184" s="1"/>
  <c r="H56" i="184"/>
  <c r="S10" i="184" s="1"/>
  <c r="T10" i="184" s="1"/>
  <c r="H63" i="185"/>
  <c r="S17" i="185" s="1"/>
  <c r="T17" i="185" s="1"/>
  <c r="H95" i="185"/>
  <c r="H91" i="185"/>
  <c r="H87" i="185"/>
  <c r="H83" i="185"/>
  <c r="H79" i="185"/>
  <c r="S41" i="185" s="1"/>
  <c r="T41" i="185" s="1"/>
  <c r="H75" i="185"/>
  <c r="S37" i="185" s="1"/>
  <c r="T37" i="185" s="1"/>
  <c r="H71" i="185"/>
  <c r="S25" i="185" s="1"/>
  <c r="T25" i="185" s="1"/>
  <c r="H67" i="185"/>
  <c r="S21" i="185" s="1"/>
  <c r="T21" i="185" s="1"/>
  <c r="H59" i="185"/>
  <c r="S13" i="185" s="1"/>
  <c r="T13" i="185" s="1"/>
  <c r="H55" i="185"/>
  <c r="S9" i="185" s="1"/>
  <c r="T9" i="185" s="1"/>
  <c r="H53" i="184"/>
  <c r="S7" i="184" s="1"/>
  <c r="H95" i="184"/>
  <c r="H91" i="184"/>
  <c r="H87" i="184"/>
  <c r="H83" i="184"/>
  <c r="H79" i="184"/>
  <c r="S41" i="184" s="1"/>
  <c r="T41" i="184" s="1"/>
  <c r="H75" i="184"/>
  <c r="S37" i="184" s="1"/>
  <c r="T37" i="184" s="1"/>
  <c r="H71" i="184"/>
  <c r="S25" i="184" s="1"/>
  <c r="T25" i="184" s="1"/>
  <c r="H67" i="184"/>
  <c r="S21" i="184" s="1"/>
  <c r="T21" i="184" s="1"/>
  <c r="H63" i="184"/>
  <c r="S17" i="184" s="1"/>
  <c r="T17" i="184" s="1"/>
  <c r="H59" i="184"/>
  <c r="S13" i="184" s="1"/>
  <c r="T13" i="184" s="1"/>
  <c r="H55" i="184"/>
  <c r="S9" i="184" s="1"/>
  <c r="T9" i="184" s="1"/>
  <c r="O27" i="182"/>
  <c r="O18" i="182"/>
  <c r="P18" i="182"/>
  <c r="O28" i="182"/>
  <c r="Q18" i="182"/>
  <c r="O47" i="182" l="1"/>
  <c r="T43" i="184"/>
  <c r="T43" i="185"/>
  <c r="S43" i="185"/>
  <c r="S43" i="184"/>
  <c r="S29" i="184"/>
  <c r="T29" i="185"/>
  <c r="S29" i="185"/>
  <c r="T7" i="184"/>
  <c r="T29" i="184" s="1"/>
  <c r="O46" i="182"/>
  <c r="O29" i="182"/>
  <c r="O26" i="182"/>
  <c r="O25" i="182"/>
  <c r="H53" i="182" l="1"/>
  <c r="I53" i="182" s="1"/>
  <c r="J53" i="182" s="1"/>
  <c r="I14" i="182"/>
  <c r="J14" i="182" s="1"/>
  <c r="I13" i="182"/>
  <c r="I12" i="182"/>
  <c r="J12" i="182" s="1"/>
  <c r="C239" i="183"/>
  <c r="AF235" i="183"/>
  <c r="AF234" i="183"/>
  <c r="AB234" i="183"/>
  <c r="AA234" i="183"/>
  <c r="Z234" i="183"/>
  <c r="Y234" i="183"/>
  <c r="X234" i="183"/>
  <c r="W234" i="183"/>
  <c r="V234" i="183"/>
  <c r="U234" i="183"/>
  <c r="T234" i="183"/>
  <c r="S234" i="183"/>
  <c r="R234" i="183"/>
  <c r="Q234" i="183"/>
  <c r="P234" i="183"/>
  <c r="L234" i="183"/>
  <c r="K234" i="183"/>
  <c r="J234" i="183"/>
  <c r="I234" i="183"/>
  <c r="H234" i="183"/>
  <c r="G234" i="183"/>
  <c r="F234" i="183"/>
  <c r="E234" i="183"/>
  <c r="D234" i="183"/>
  <c r="AF233" i="183"/>
  <c r="AB233" i="183"/>
  <c r="AA233" i="183"/>
  <c r="Z233" i="183"/>
  <c r="Y233" i="183"/>
  <c r="X233" i="183"/>
  <c r="W233" i="183"/>
  <c r="V233" i="183"/>
  <c r="U233" i="183"/>
  <c r="T233" i="183"/>
  <c r="S233" i="183"/>
  <c r="R233" i="183"/>
  <c r="Q233" i="183"/>
  <c r="P233" i="183"/>
  <c r="O233" i="183"/>
  <c r="N233" i="183"/>
  <c r="M233" i="183"/>
  <c r="K233" i="183"/>
  <c r="J233" i="183"/>
  <c r="I233" i="183"/>
  <c r="H233" i="183"/>
  <c r="G233" i="183"/>
  <c r="F233" i="183"/>
  <c r="E233" i="183"/>
  <c r="D233" i="183"/>
  <c r="AF232" i="183"/>
  <c r="AB232" i="183"/>
  <c r="AA232" i="183"/>
  <c r="Z232" i="183"/>
  <c r="Y232" i="183"/>
  <c r="X232" i="183"/>
  <c r="W232" i="183"/>
  <c r="V232" i="183"/>
  <c r="U232" i="183"/>
  <c r="T232" i="183"/>
  <c r="S232" i="183"/>
  <c r="R232" i="183"/>
  <c r="Q232" i="183"/>
  <c r="P232" i="183"/>
  <c r="O232" i="183"/>
  <c r="N232" i="183"/>
  <c r="M232" i="183"/>
  <c r="L232" i="183"/>
  <c r="J232" i="183"/>
  <c r="I232" i="183"/>
  <c r="H232" i="183"/>
  <c r="G232" i="183"/>
  <c r="F232" i="183"/>
  <c r="E232" i="183"/>
  <c r="D232" i="183"/>
  <c r="AE231" i="183"/>
  <c r="AB231" i="183"/>
  <c r="AA231" i="183"/>
  <c r="Z231" i="183"/>
  <c r="Y231" i="183"/>
  <c r="X231" i="183"/>
  <c r="W231" i="183"/>
  <c r="V231" i="183"/>
  <c r="U231" i="183"/>
  <c r="T231" i="183"/>
  <c r="S231" i="183"/>
  <c r="R231" i="183"/>
  <c r="Q231" i="183"/>
  <c r="P231" i="183"/>
  <c r="O231" i="183"/>
  <c r="N231" i="183"/>
  <c r="M231" i="183"/>
  <c r="L231" i="183"/>
  <c r="K231" i="183"/>
  <c r="I231" i="183"/>
  <c r="H231" i="183"/>
  <c r="G231" i="183"/>
  <c r="F231" i="183"/>
  <c r="E231" i="183"/>
  <c r="D231" i="183"/>
  <c r="AF230" i="183"/>
  <c r="AE230" i="183"/>
  <c r="AG230" i="183" s="1"/>
  <c r="AB230" i="183"/>
  <c r="AA230" i="183"/>
  <c r="Z230" i="183"/>
  <c r="Y230" i="183"/>
  <c r="X230" i="183"/>
  <c r="W230" i="183"/>
  <c r="V230" i="183"/>
  <c r="U230" i="183"/>
  <c r="T230" i="183"/>
  <c r="S230" i="183"/>
  <c r="R230" i="183"/>
  <c r="Q230" i="183"/>
  <c r="P230" i="183"/>
  <c r="O230" i="183"/>
  <c r="N230" i="183"/>
  <c r="M230" i="183"/>
  <c r="L230" i="183"/>
  <c r="K230" i="183"/>
  <c r="J230" i="183"/>
  <c r="H230" i="183"/>
  <c r="G230" i="183"/>
  <c r="F230" i="183"/>
  <c r="E230" i="183"/>
  <c r="D230" i="183"/>
  <c r="AF229" i="183"/>
  <c r="AE229" i="183"/>
  <c r="AB229" i="183"/>
  <c r="AA229" i="183"/>
  <c r="Z229" i="183"/>
  <c r="Y229" i="183"/>
  <c r="X229" i="183"/>
  <c r="W229" i="183"/>
  <c r="V229" i="183"/>
  <c r="U229" i="183"/>
  <c r="T229" i="183"/>
  <c r="S229" i="183"/>
  <c r="R229" i="183"/>
  <c r="Q229" i="183"/>
  <c r="P229" i="183"/>
  <c r="O229" i="183"/>
  <c r="N229" i="183"/>
  <c r="M229" i="183"/>
  <c r="L229" i="183"/>
  <c r="K229" i="183"/>
  <c r="J229" i="183"/>
  <c r="I229" i="183"/>
  <c r="G229" i="183"/>
  <c r="F229" i="183"/>
  <c r="E229" i="183"/>
  <c r="D229" i="183"/>
  <c r="AF228" i="183"/>
  <c r="AE228" i="183"/>
  <c r="AB228" i="183"/>
  <c r="AA228" i="183"/>
  <c r="Z228" i="183"/>
  <c r="Y228" i="183"/>
  <c r="X228" i="183"/>
  <c r="W228" i="183"/>
  <c r="V228" i="183"/>
  <c r="U228" i="183"/>
  <c r="T228" i="183"/>
  <c r="S228" i="183"/>
  <c r="R228" i="183"/>
  <c r="Q228" i="183"/>
  <c r="P228" i="183"/>
  <c r="O228" i="183"/>
  <c r="N228" i="183"/>
  <c r="M228" i="183"/>
  <c r="L228" i="183"/>
  <c r="K228" i="183"/>
  <c r="J228" i="183"/>
  <c r="I228" i="183"/>
  <c r="H228" i="183"/>
  <c r="F228" i="183"/>
  <c r="E228" i="183"/>
  <c r="D228" i="183"/>
  <c r="AF227" i="183"/>
  <c r="AB227" i="183"/>
  <c r="AA227" i="183"/>
  <c r="Z227" i="183"/>
  <c r="Y227" i="183"/>
  <c r="X227" i="183"/>
  <c r="W227" i="183"/>
  <c r="V227" i="183"/>
  <c r="U227" i="183"/>
  <c r="T227" i="183"/>
  <c r="S227" i="183"/>
  <c r="R227" i="183"/>
  <c r="Q227" i="183"/>
  <c r="P227" i="183"/>
  <c r="O227" i="183"/>
  <c r="N227" i="183"/>
  <c r="M227" i="183"/>
  <c r="L227" i="183"/>
  <c r="K227" i="183"/>
  <c r="J227" i="183"/>
  <c r="I227" i="183"/>
  <c r="H227" i="183"/>
  <c r="G227" i="183"/>
  <c r="E227" i="183"/>
  <c r="D227" i="183"/>
  <c r="AF226" i="183"/>
  <c r="AB226" i="183"/>
  <c r="AA226" i="183"/>
  <c r="Z226" i="183"/>
  <c r="Y226" i="183"/>
  <c r="X226" i="183"/>
  <c r="W226" i="183"/>
  <c r="V226" i="183"/>
  <c r="U226" i="183"/>
  <c r="T226" i="183"/>
  <c r="S226" i="183"/>
  <c r="R226" i="183"/>
  <c r="Q226" i="183"/>
  <c r="P226" i="183"/>
  <c r="O226" i="183"/>
  <c r="N226" i="183"/>
  <c r="M226" i="183"/>
  <c r="L226" i="183"/>
  <c r="K226" i="183"/>
  <c r="J226" i="183"/>
  <c r="I226" i="183"/>
  <c r="H226" i="183"/>
  <c r="G226" i="183"/>
  <c r="F226" i="183"/>
  <c r="D226" i="183"/>
  <c r="AB225" i="183"/>
  <c r="AA225" i="183"/>
  <c r="Z225" i="183"/>
  <c r="Y225" i="183"/>
  <c r="X225" i="183"/>
  <c r="W225" i="183"/>
  <c r="V225" i="183"/>
  <c r="U225" i="183"/>
  <c r="T225" i="183"/>
  <c r="S225" i="183"/>
  <c r="R225" i="183"/>
  <c r="Q225" i="183"/>
  <c r="P225" i="183"/>
  <c r="O225" i="183"/>
  <c r="N225" i="183"/>
  <c r="M225" i="183"/>
  <c r="L225" i="183"/>
  <c r="K225" i="183"/>
  <c r="J225" i="183"/>
  <c r="I225" i="183"/>
  <c r="H225" i="183"/>
  <c r="G225" i="183"/>
  <c r="F225" i="183"/>
  <c r="E225" i="183"/>
  <c r="AD156" i="183"/>
  <c r="D156" i="183"/>
  <c r="B156" i="183"/>
  <c r="AE155" i="183"/>
  <c r="AD155" i="183"/>
  <c r="D155" i="183"/>
  <c r="B155" i="183"/>
  <c r="M154" i="183"/>
  <c r="F154" i="183"/>
  <c r="B154" i="183"/>
  <c r="AC153" i="183"/>
  <c r="AA153" i="183"/>
  <c r="Z153" i="183"/>
  <c r="Y153" i="183"/>
  <c r="V153" i="183"/>
  <c r="E153" i="183"/>
  <c r="B153" i="183"/>
  <c r="Q152" i="183"/>
  <c r="N152" i="183"/>
  <c r="B152" i="183"/>
  <c r="J151" i="183"/>
  <c r="I151" i="183"/>
  <c r="B151" i="183"/>
  <c r="G150" i="183"/>
  <c r="B150" i="183"/>
  <c r="Y149" i="183"/>
  <c r="I149" i="183"/>
  <c r="G149" i="183"/>
  <c r="B149" i="183"/>
  <c r="AC148" i="183"/>
  <c r="AA148" i="183"/>
  <c r="Y148" i="183"/>
  <c r="J148" i="183"/>
  <c r="I148" i="183"/>
  <c r="B148" i="183"/>
  <c r="Y147" i="183"/>
  <c r="B147" i="183"/>
  <c r="AC146" i="183"/>
  <c r="Z146" i="183"/>
  <c r="Y146" i="183"/>
  <c r="G146" i="183"/>
  <c r="F146" i="183"/>
  <c r="E146" i="183"/>
  <c r="B146" i="183"/>
  <c r="AA145" i="183"/>
  <c r="F145" i="183"/>
  <c r="B145" i="183"/>
  <c r="AE144" i="183"/>
  <c r="AD144" i="183"/>
  <c r="P144" i="183"/>
  <c r="AE143" i="183"/>
  <c r="AD143" i="183"/>
  <c r="AC143" i="183"/>
  <c r="AB143" i="183"/>
  <c r="AA143" i="183"/>
  <c r="Z143" i="183"/>
  <c r="Y143" i="183"/>
  <c r="X143" i="183"/>
  <c r="W143" i="183"/>
  <c r="V143" i="183"/>
  <c r="U143" i="183"/>
  <c r="T143" i="183"/>
  <c r="S143" i="183"/>
  <c r="R143" i="183"/>
  <c r="Q143" i="183"/>
  <c r="P143" i="183"/>
  <c r="O143" i="183"/>
  <c r="N143" i="183"/>
  <c r="M143" i="183"/>
  <c r="L143" i="183"/>
  <c r="K143" i="183"/>
  <c r="J143" i="183"/>
  <c r="I143" i="183"/>
  <c r="H143" i="183"/>
  <c r="G143" i="183"/>
  <c r="F143" i="183"/>
  <c r="E143" i="183"/>
  <c r="AC120" i="183"/>
  <c r="T120" i="183"/>
  <c r="H120" i="183"/>
  <c r="H156" i="183" s="1"/>
  <c r="AE118" i="183"/>
  <c r="AC154" i="183"/>
  <c r="AB154" i="183"/>
  <c r="AA154" i="183"/>
  <c r="Z154" i="183"/>
  <c r="Y154" i="183"/>
  <c r="X154" i="183"/>
  <c r="W154" i="183"/>
  <c r="V154" i="183"/>
  <c r="U154" i="183"/>
  <c r="T154" i="183"/>
  <c r="S154" i="183"/>
  <c r="R154" i="183"/>
  <c r="Q154" i="183"/>
  <c r="P154" i="183"/>
  <c r="O154" i="183"/>
  <c r="N154" i="183"/>
  <c r="L154" i="183"/>
  <c r="K154" i="183"/>
  <c r="J154" i="183"/>
  <c r="I154" i="183"/>
  <c r="H154" i="183"/>
  <c r="G154" i="183"/>
  <c r="E154" i="183"/>
  <c r="D154" i="183"/>
  <c r="AB153" i="183"/>
  <c r="X153" i="183"/>
  <c r="W153" i="183"/>
  <c r="U153" i="183"/>
  <c r="T153" i="183"/>
  <c r="S153" i="183"/>
  <c r="R153" i="183"/>
  <c r="Q153" i="183"/>
  <c r="P153" i="183"/>
  <c r="O153" i="183"/>
  <c r="N153" i="183"/>
  <c r="M153" i="183"/>
  <c r="L153" i="183"/>
  <c r="K153" i="183"/>
  <c r="J153" i="183"/>
  <c r="I153" i="183"/>
  <c r="H153" i="183"/>
  <c r="G153" i="183"/>
  <c r="F153" i="183"/>
  <c r="D153" i="183"/>
  <c r="AE116" i="183"/>
  <c r="AC152" i="183"/>
  <c r="AB152" i="183"/>
  <c r="AA152" i="183"/>
  <c r="Z152" i="183"/>
  <c r="Y152" i="183"/>
  <c r="X152" i="183"/>
  <c r="W152" i="183"/>
  <c r="V152" i="183"/>
  <c r="U152" i="183"/>
  <c r="T152" i="183"/>
  <c r="S152" i="183"/>
  <c r="R152" i="183"/>
  <c r="P152" i="183"/>
  <c r="O152" i="183"/>
  <c r="M152" i="183"/>
  <c r="L152" i="183"/>
  <c r="K152" i="183"/>
  <c r="J152" i="183"/>
  <c r="I152" i="183"/>
  <c r="H152" i="183"/>
  <c r="G152" i="183"/>
  <c r="F152" i="183"/>
  <c r="D152" i="183"/>
  <c r="AQ152" i="183" s="1"/>
  <c r="AC151" i="183"/>
  <c r="AB151" i="183"/>
  <c r="AA151" i="183"/>
  <c r="Z151" i="183"/>
  <c r="Y151" i="183"/>
  <c r="X151" i="183"/>
  <c r="W151" i="183"/>
  <c r="V151" i="183"/>
  <c r="U151" i="183"/>
  <c r="T151" i="183"/>
  <c r="S151" i="183"/>
  <c r="R151" i="183"/>
  <c r="Q151" i="183"/>
  <c r="P151" i="183"/>
  <c r="O151" i="183"/>
  <c r="N151" i="183"/>
  <c r="M151" i="183"/>
  <c r="L151" i="183"/>
  <c r="K151" i="183"/>
  <c r="H151" i="183"/>
  <c r="G151" i="183"/>
  <c r="F151" i="183"/>
  <c r="E151" i="183"/>
  <c r="D151" i="183"/>
  <c r="AC150" i="183"/>
  <c r="AB150" i="183"/>
  <c r="AA150" i="183"/>
  <c r="Z150" i="183"/>
  <c r="Y150" i="183"/>
  <c r="X150" i="183"/>
  <c r="W150" i="183"/>
  <c r="V150" i="183"/>
  <c r="U150" i="183"/>
  <c r="T150" i="183"/>
  <c r="S150" i="183"/>
  <c r="R150" i="183"/>
  <c r="Q150" i="183"/>
  <c r="P150" i="183"/>
  <c r="O150" i="183"/>
  <c r="N150" i="183"/>
  <c r="M150" i="183"/>
  <c r="L150" i="183"/>
  <c r="K150" i="183"/>
  <c r="J150" i="183"/>
  <c r="I150" i="183"/>
  <c r="H150" i="183"/>
  <c r="F150" i="183"/>
  <c r="E150" i="183"/>
  <c r="AC149" i="183"/>
  <c r="AB149" i="183"/>
  <c r="AA149" i="183"/>
  <c r="Z149" i="183"/>
  <c r="X149" i="183"/>
  <c r="W149" i="183"/>
  <c r="V149" i="183"/>
  <c r="U149" i="183"/>
  <c r="T149" i="183"/>
  <c r="S149" i="183"/>
  <c r="R149" i="183"/>
  <c r="Q149" i="183"/>
  <c r="P149" i="183"/>
  <c r="O149" i="183"/>
  <c r="N149" i="183"/>
  <c r="M149" i="183"/>
  <c r="L149" i="183"/>
  <c r="K149" i="183"/>
  <c r="J149" i="183"/>
  <c r="H149" i="183"/>
  <c r="F149" i="183"/>
  <c r="E149" i="183"/>
  <c r="AB148" i="183"/>
  <c r="Z148" i="183"/>
  <c r="X148" i="183"/>
  <c r="W148" i="183"/>
  <c r="V148" i="183"/>
  <c r="U148" i="183"/>
  <c r="T148" i="183"/>
  <c r="S148" i="183"/>
  <c r="R148" i="183"/>
  <c r="Q148" i="183"/>
  <c r="P148" i="183"/>
  <c r="O148" i="183"/>
  <c r="N148" i="183"/>
  <c r="M148" i="183"/>
  <c r="L148" i="183"/>
  <c r="K148" i="183"/>
  <c r="H148" i="183"/>
  <c r="G148" i="183"/>
  <c r="F148" i="183"/>
  <c r="E148" i="183"/>
  <c r="D148" i="183"/>
  <c r="AC147" i="183"/>
  <c r="AB147" i="183"/>
  <c r="AA147" i="183"/>
  <c r="Z147" i="183"/>
  <c r="X147" i="183"/>
  <c r="W147" i="183"/>
  <c r="V147" i="183"/>
  <c r="U147" i="183"/>
  <c r="T147" i="183"/>
  <c r="S147" i="183"/>
  <c r="R147" i="183"/>
  <c r="Q147" i="183"/>
  <c r="P147" i="183"/>
  <c r="O147" i="183"/>
  <c r="N147" i="183"/>
  <c r="M147" i="183"/>
  <c r="L147" i="183"/>
  <c r="K147" i="183"/>
  <c r="J147" i="183"/>
  <c r="I147" i="183"/>
  <c r="H147" i="183"/>
  <c r="G147" i="183"/>
  <c r="F147" i="183"/>
  <c r="E147" i="183"/>
  <c r="D147" i="183"/>
  <c r="AE110" i="183"/>
  <c r="AB146" i="183"/>
  <c r="AA146" i="183"/>
  <c r="X146" i="183"/>
  <c r="W146" i="183"/>
  <c r="V146" i="183"/>
  <c r="U146" i="183"/>
  <c r="T146" i="183"/>
  <c r="S146" i="183"/>
  <c r="R146" i="183"/>
  <c r="Q146" i="183"/>
  <c r="P146" i="183"/>
  <c r="O146" i="183"/>
  <c r="N146" i="183"/>
  <c r="M146" i="183"/>
  <c r="L146" i="183"/>
  <c r="K146" i="183"/>
  <c r="J146" i="183"/>
  <c r="I146" i="183"/>
  <c r="H146" i="183"/>
  <c r="D146" i="183"/>
  <c r="AQ146" i="183" s="1"/>
  <c r="AE109" i="183"/>
  <c r="AC145" i="183"/>
  <c r="AB145" i="183"/>
  <c r="Z145" i="183"/>
  <c r="Y145" i="183"/>
  <c r="X145" i="183"/>
  <c r="V145" i="183"/>
  <c r="R145" i="183"/>
  <c r="Q145" i="183"/>
  <c r="P145" i="183"/>
  <c r="O145" i="183"/>
  <c r="N145" i="183"/>
  <c r="M145" i="183"/>
  <c r="L145" i="183"/>
  <c r="J145" i="183"/>
  <c r="E145" i="183"/>
  <c r="AC144" i="183"/>
  <c r="AC161" i="183" s="1"/>
  <c r="AB120" i="183"/>
  <c r="T144" i="183"/>
  <c r="R144" i="183"/>
  <c r="P120" i="183"/>
  <c r="N144" i="183"/>
  <c r="H144" i="183"/>
  <c r="E120" i="183"/>
  <c r="AH105" i="183"/>
  <c r="AH104" i="183"/>
  <c r="K80" i="183"/>
  <c r="K77" i="183"/>
  <c r="K76" i="183"/>
  <c r="K75" i="183"/>
  <c r="K74" i="183"/>
  <c r="K73" i="183"/>
  <c r="K72" i="183"/>
  <c r="K71" i="183"/>
  <c r="I70" i="183"/>
  <c r="I69" i="183"/>
  <c r="K68" i="183"/>
  <c r="K67" i="183"/>
  <c r="K65" i="183"/>
  <c r="K64" i="183"/>
  <c r="K63" i="183"/>
  <c r="K62" i="183"/>
  <c r="K61" i="183"/>
  <c r="K60" i="183"/>
  <c r="K59" i="183"/>
  <c r="K58" i="183"/>
  <c r="K57" i="183"/>
  <c r="K56" i="183"/>
  <c r="K55" i="183"/>
  <c r="K54" i="183"/>
  <c r="K53" i="183"/>
  <c r="O42" i="183"/>
  <c r="O41" i="183"/>
  <c r="O40" i="183"/>
  <c r="O39" i="183"/>
  <c r="O38" i="183"/>
  <c r="O37" i="183"/>
  <c r="O28" i="183"/>
  <c r="O27" i="183"/>
  <c r="O26" i="183"/>
  <c r="O25" i="183"/>
  <c r="O24" i="183"/>
  <c r="O23" i="183"/>
  <c r="O22" i="183"/>
  <c r="O21" i="183"/>
  <c r="O20" i="183"/>
  <c r="O19" i="183"/>
  <c r="O18" i="183"/>
  <c r="O17" i="183"/>
  <c r="O16" i="183"/>
  <c r="O15" i="183"/>
  <c r="O14" i="183"/>
  <c r="O13" i="183"/>
  <c r="O12" i="183"/>
  <c r="C12" i="183"/>
  <c r="O11" i="183"/>
  <c r="O10" i="183"/>
  <c r="O9" i="183"/>
  <c r="O8" i="183"/>
  <c r="O7" i="183"/>
  <c r="A1" i="183"/>
  <c r="C4" i="183" s="1"/>
  <c r="AF36" i="183" s="1"/>
  <c r="AF40" i="183" s="1"/>
  <c r="O53" i="182"/>
  <c r="P53" i="182" s="1"/>
  <c r="Q53" i="182" s="1"/>
  <c r="AF34" i="183" l="1"/>
  <c r="AF35" i="183"/>
  <c r="AF39" i="183" s="1"/>
  <c r="AF33" i="183"/>
  <c r="AF30" i="183"/>
  <c r="C28" i="183"/>
  <c r="H98" i="183"/>
  <c r="H86" i="183"/>
  <c r="H74" i="183"/>
  <c r="H62" i="183"/>
  <c r="H89" i="183"/>
  <c r="H97" i="183"/>
  <c r="H85" i="183"/>
  <c r="H73" i="183"/>
  <c r="H61" i="183"/>
  <c r="H53" i="183"/>
  <c r="H96" i="183"/>
  <c r="H84" i="183"/>
  <c r="H72" i="183"/>
  <c r="H60" i="183"/>
  <c r="H77" i="183"/>
  <c r="H95" i="183"/>
  <c r="H83" i="183"/>
  <c r="H71" i="183"/>
  <c r="H59" i="183"/>
  <c r="H54" i="183"/>
  <c r="H94" i="183"/>
  <c r="H82" i="183"/>
  <c r="H70" i="183"/>
  <c r="H58" i="183"/>
  <c r="H93" i="183"/>
  <c r="H81" i="183"/>
  <c r="H69" i="183"/>
  <c r="H57" i="183"/>
  <c r="H78" i="183"/>
  <c r="H92" i="183"/>
  <c r="H80" i="183"/>
  <c r="H68" i="183"/>
  <c r="H56" i="183"/>
  <c r="H66" i="183"/>
  <c r="H65" i="183"/>
  <c r="H91" i="183"/>
  <c r="H79" i="183"/>
  <c r="H67" i="183"/>
  <c r="H55" i="183"/>
  <c r="H90" i="183"/>
  <c r="H88" i="183"/>
  <c r="H76" i="183"/>
  <c r="H64" i="183"/>
  <c r="H87" i="183"/>
  <c r="H75" i="183"/>
  <c r="H63" i="183"/>
  <c r="G98" i="183"/>
  <c r="G86" i="183"/>
  <c r="G74" i="183"/>
  <c r="G62" i="183"/>
  <c r="G89" i="183"/>
  <c r="G97" i="183"/>
  <c r="G85" i="183"/>
  <c r="G73" i="183"/>
  <c r="G61" i="183"/>
  <c r="G96" i="183"/>
  <c r="G84" i="183"/>
  <c r="G72" i="183"/>
  <c r="G60" i="183"/>
  <c r="G95" i="183"/>
  <c r="G83" i="183"/>
  <c r="G71" i="183"/>
  <c r="G59" i="183"/>
  <c r="G94" i="183"/>
  <c r="G82" i="183"/>
  <c r="G70" i="183"/>
  <c r="G58" i="183"/>
  <c r="G93" i="183"/>
  <c r="G81" i="183"/>
  <c r="G69" i="183"/>
  <c r="G57" i="183"/>
  <c r="G77" i="183"/>
  <c r="G92" i="183"/>
  <c r="G80" i="183"/>
  <c r="G68" i="183"/>
  <c r="G56" i="183"/>
  <c r="G65" i="183"/>
  <c r="G91" i="183"/>
  <c r="G79" i="183"/>
  <c r="G67" i="183"/>
  <c r="G55" i="183"/>
  <c r="G53" i="183"/>
  <c r="G90" i="183"/>
  <c r="G78" i="183"/>
  <c r="G66" i="183"/>
  <c r="G54" i="183"/>
  <c r="G88" i="183"/>
  <c r="G76" i="183"/>
  <c r="G64" i="183"/>
  <c r="G87" i="183"/>
  <c r="G75" i="183"/>
  <c r="G63" i="183"/>
  <c r="C5" i="184"/>
  <c r="C181" i="183"/>
  <c r="AG229" i="183"/>
  <c r="AG228" i="183"/>
  <c r="H129" i="183"/>
  <c r="J13" i="182"/>
  <c r="P28" i="182"/>
  <c r="P27" i="182"/>
  <c r="E156" i="183"/>
  <c r="E126" i="183"/>
  <c r="E129" i="183"/>
  <c r="N69" i="183"/>
  <c r="N70" i="183"/>
  <c r="N78" i="183"/>
  <c r="G144" i="183"/>
  <c r="S144" i="183"/>
  <c r="S120" i="183"/>
  <c r="AE145" i="183"/>
  <c r="AP109" i="183"/>
  <c r="T161" i="183"/>
  <c r="H161" i="183"/>
  <c r="I144" i="183"/>
  <c r="I120" i="183"/>
  <c r="U144" i="183"/>
  <c r="U120" i="183"/>
  <c r="G145" i="183"/>
  <c r="S145" i="183"/>
  <c r="D150" i="183"/>
  <c r="AE114" i="183"/>
  <c r="AP110" i="183"/>
  <c r="AE146" i="183"/>
  <c r="T156" i="183"/>
  <c r="T124" i="183"/>
  <c r="O120" i="183"/>
  <c r="O144" i="183"/>
  <c r="AA120" i="183"/>
  <c r="AA144" i="183"/>
  <c r="E144" i="183"/>
  <c r="Q144" i="183"/>
  <c r="Q120" i="183"/>
  <c r="F144" i="183"/>
  <c r="F120" i="183"/>
  <c r="F156" i="183" s="1"/>
  <c r="D145" i="183"/>
  <c r="AE154" i="183"/>
  <c r="AP118" i="183"/>
  <c r="AC156" i="183"/>
  <c r="AC126" i="183"/>
  <c r="J144" i="183"/>
  <c r="J120" i="183"/>
  <c r="V144" i="183"/>
  <c r="V120" i="183"/>
  <c r="H145" i="183"/>
  <c r="T145" i="183"/>
  <c r="D149" i="183"/>
  <c r="AE113" i="183"/>
  <c r="K144" i="183"/>
  <c r="K120" i="183"/>
  <c r="W144" i="183"/>
  <c r="W120" i="183"/>
  <c r="U145" i="183"/>
  <c r="I145" i="183"/>
  <c r="L144" i="183"/>
  <c r="L120" i="183"/>
  <c r="X144" i="183"/>
  <c r="X120" i="183"/>
  <c r="M144" i="183"/>
  <c r="M120" i="183"/>
  <c r="Y144" i="183"/>
  <c r="Y120" i="183"/>
  <c r="K145" i="183"/>
  <c r="AQ148" i="183"/>
  <c r="W145" i="183"/>
  <c r="Z120" i="183"/>
  <c r="Z144" i="183"/>
  <c r="AE152" i="183"/>
  <c r="AP116" i="183"/>
  <c r="P161" i="183"/>
  <c r="P156" i="183"/>
  <c r="P124" i="183"/>
  <c r="AB156" i="183"/>
  <c r="AB126" i="183"/>
  <c r="AE112" i="183"/>
  <c r="E152" i="183"/>
  <c r="AQ153" i="183"/>
  <c r="AQ154" i="183"/>
  <c r="AB144" i="183"/>
  <c r="AE117" i="183"/>
  <c r="AL234" i="184" l="1"/>
  <c r="AL232" i="184"/>
  <c r="AL231" i="184"/>
  <c r="AL230" i="184"/>
  <c r="AL229" i="184"/>
  <c r="AL228" i="184"/>
  <c r="AL225" i="184"/>
  <c r="AL227" i="184"/>
  <c r="AL226" i="184"/>
  <c r="AL233" i="184"/>
  <c r="W240" i="184"/>
  <c r="E240" i="184"/>
  <c r="AB240" i="184"/>
  <c r="K240" i="184"/>
  <c r="R240" i="184"/>
  <c r="Z240" i="184"/>
  <c r="P240" i="184"/>
  <c r="J240" i="184"/>
  <c r="D240" i="184"/>
  <c r="I240" i="184"/>
  <c r="M240" i="184"/>
  <c r="V240" i="184"/>
  <c r="AA240" i="184"/>
  <c r="U240" i="184"/>
  <c r="G240" i="184"/>
  <c r="O240" i="184"/>
  <c r="T240" i="184"/>
  <c r="N240" i="184"/>
  <c r="H240" i="184"/>
  <c r="L240" i="184"/>
  <c r="S240" i="184"/>
  <c r="Y240" i="184"/>
  <c r="F240" i="184"/>
  <c r="X240" i="184"/>
  <c r="Q240" i="184"/>
  <c r="AB240" i="183"/>
  <c r="P240" i="183"/>
  <c r="D240" i="183"/>
  <c r="N240" i="183"/>
  <c r="L240" i="183"/>
  <c r="AA240" i="183"/>
  <c r="O240" i="183"/>
  <c r="Z240" i="183"/>
  <c r="Y240" i="183"/>
  <c r="X240" i="183"/>
  <c r="W240" i="183"/>
  <c r="K240" i="183"/>
  <c r="S240" i="183"/>
  <c r="M240" i="183"/>
  <c r="V240" i="183"/>
  <c r="J240" i="183"/>
  <c r="H240" i="183"/>
  <c r="U240" i="183"/>
  <c r="I240" i="183"/>
  <c r="G240" i="183"/>
  <c r="T240" i="183"/>
  <c r="R240" i="183"/>
  <c r="F240" i="183"/>
  <c r="Q240" i="183"/>
  <c r="E240" i="183"/>
  <c r="AL234" i="183"/>
  <c r="AL226" i="183"/>
  <c r="AL233" i="183"/>
  <c r="AL232" i="183"/>
  <c r="AL231" i="183"/>
  <c r="AL230" i="183"/>
  <c r="AL229" i="183"/>
  <c r="AL228" i="183"/>
  <c r="AL225" i="183"/>
  <c r="AL227" i="183"/>
  <c r="D203" i="183"/>
  <c r="D209" i="183"/>
  <c r="E218" i="183"/>
  <c r="D202" i="183"/>
  <c r="I46" i="182"/>
  <c r="I47" i="182"/>
  <c r="H47" i="182"/>
  <c r="H46" i="182"/>
  <c r="C6" i="184"/>
  <c r="C102" i="184" s="1"/>
  <c r="AF33" i="185"/>
  <c r="AF33" i="184"/>
  <c r="P29" i="182"/>
  <c r="P47" i="182"/>
  <c r="P46" i="182"/>
  <c r="C28" i="185"/>
  <c r="C14" i="184"/>
  <c r="C28" i="184"/>
  <c r="AF34" i="184"/>
  <c r="C5" i="185"/>
  <c r="C6" i="185"/>
  <c r="C14" i="185"/>
  <c r="C8" i="185"/>
  <c r="C103" i="185" s="1"/>
  <c r="AF34" i="185"/>
  <c r="AF31" i="183"/>
  <c r="AF38" i="183" s="1"/>
  <c r="AF37" i="183"/>
  <c r="C8" i="184"/>
  <c r="C103" i="184" s="1"/>
  <c r="E219" i="183"/>
  <c r="E216" i="183"/>
  <c r="E217" i="183"/>
  <c r="E214" i="183"/>
  <c r="E215" i="183"/>
  <c r="E212" i="183"/>
  <c r="E213" i="183"/>
  <c r="E201" i="183"/>
  <c r="E211" i="183"/>
  <c r="E185" i="183"/>
  <c r="E191" i="183"/>
  <c r="D210" i="183"/>
  <c r="D207" i="183"/>
  <c r="D208" i="183"/>
  <c r="D205" i="183"/>
  <c r="D206" i="183"/>
  <c r="D204" i="183"/>
  <c r="D199" i="183"/>
  <c r="D200" i="183"/>
  <c r="D197" i="183"/>
  <c r="D198" i="183"/>
  <c r="D195" i="183"/>
  <c r="D196" i="183"/>
  <c r="D193" i="183"/>
  <c r="D194" i="183"/>
  <c r="D186" i="183"/>
  <c r="D187" i="183"/>
  <c r="D185" i="183"/>
  <c r="D192" i="183"/>
  <c r="AF14" i="184"/>
  <c r="R3" i="184"/>
  <c r="Q38" i="183"/>
  <c r="AA119" i="183"/>
  <c r="AA155" i="183" s="1"/>
  <c r="Z119" i="183"/>
  <c r="P119" i="183"/>
  <c r="P155" i="183" s="1"/>
  <c r="P157" i="183" s="1"/>
  <c r="Q119" i="183"/>
  <c r="Q155" i="183" s="1"/>
  <c r="R119" i="183"/>
  <c r="R155" i="183" s="1"/>
  <c r="AC119" i="183"/>
  <c r="AC155" i="183" s="1"/>
  <c r="AC157" i="183" s="1"/>
  <c r="C14" i="183"/>
  <c r="S119" i="183"/>
  <c r="S155" i="183" s="1"/>
  <c r="P25" i="182"/>
  <c r="P26" i="182"/>
  <c r="Q27" i="182"/>
  <c r="Q28" i="182"/>
  <c r="AF27" i="183"/>
  <c r="Q14" i="183"/>
  <c r="AD113" i="183"/>
  <c r="N120" i="183"/>
  <c r="N156" i="183" s="1"/>
  <c r="AD110" i="183"/>
  <c r="Q13" i="183"/>
  <c r="AD112" i="183"/>
  <c r="Q23" i="183"/>
  <c r="O119" i="183"/>
  <c r="O155" i="183" s="1"/>
  <c r="N119" i="183"/>
  <c r="Q22" i="183"/>
  <c r="Q42" i="183"/>
  <c r="U119" i="183"/>
  <c r="U155" i="183" s="1"/>
  <c r="AB119" i="183"/>
  <c r="AB155" i="183" s="1"/>
  <c r="AB157" i="183" s="1"/>
  <c r="T119" i="183"/>
  <c r="T155" i="183" s="1"/>
  <c r="T157" i="183" s="1"/>
  <c r="Q24" i="183"/>
  <c r="Q12" i="183"/>
  <c r="Q16" i="183"/>
  <c r="Q41" i="183"/>
  <c r="Q39" i="183"/>
  <c r="X119" i="183"/>
  <c r="X155" i="183" s="1"/>
  <c r="Q7" i="183"/>
  <c r="Q18" i="183"/>
  <c r="Q26" i="183"/>
  <c r="Q20" i="183"/>
  <c r="Q28" i="183"/>
  <c r="Q37" i="183"/>
  <c r="Q21" i="183"/>
  <c r="Q40" i="183"/>
  <c r="Y119" i="183"/>
  <c r="Y155" i="183" s="1"/>
  <c r="Q19" i="183"/>
  <c r="H119" i="183"/>
  <c r="H155" i="183" s="1"/>
  <c r="H157" i="183" s="1"/>
  <c r="Q27" i="183"/>
  <c r="V119" i="183"/>
  <c r="V155" i="183" s="1"/>
  <c r="Q15" i="183"/>
  <c r="R120" i="183"/>
  <c r="R156" i="183" s="1"/>
  <c r="C8" i="183"/>
  <c r="C103" i="183" s="1"/>
  <c r="C6" i="183"/>
  <c r="C5" i="183"/>
  <c r="W119" i="183"/>
  <c r="W155" i="183" s="1"/>
  <c r="AD116" i="183"/>
  <c r="L119" i="183"/>
  <c r="L155" i="183" s="1"/>
  <c r="I119" i="183"/>
  <c r="I155" i="183" s="1"/>
  <c r="E119" i="183"/>
  <c r="AD115" i="183"/>
  <c r="AD151" i="183" s="1"/>
  <c r="AQ149" i="183"/>
  <c r="X156" i="183"/>
  <c r="X124" i="183"/>
  <c r="K161" i="183"/>
  <c r="Q156" i="183"/>
  <c r="Q124" i="183"/>
  <c r="AA161" i="183"/>
  <c r="AQ150" i="183"/>
  <c r="AQ145" i="183"/>
  <c r="O161" i="183"/>
  <c r="L161" i="183"/>
  <c r="O156" i="183"/>
  <c r="O124" i="183"/>
  <c r="AA126" i="183"/>
  <c r="AA156" i="183"/>
  <c r="Y156" i="183"/>
  <c r="Y124" i="183"/>
  <c r="F161" i="183"/>
  <c r="S156" i="183"/>
  <c r="S124" i="183"/>
  <c r="Z161" i="183"/>
  <c r="Y161" i="183"/>
  <c r="E161" i="183"/>
  <c r="S161" i="183"/>
  <c r="X161" i="183"/>
  <c r="AE149" i="183"/>
  <c r="AP113" i="183"/>
  <c r="U124" i="183"/>
  <c r="U156" i="183"/>
  <c r="AE148" i="183"/>
  <c r="AP112" i="183"/>
  <c r="Q161" i="183"/>
  <c r="Z156" i="183"/>
  <c r="Z126" i="183"/>
  <c r="M129" i="183"/>
  <c r="M126" i="183"/>
  <c r="M156" i="183"/>
  <c r="V124" i="183"/>
  <c r="V156" i="183"/>
  <c r="U161" i="183"/>
  <c r="AD111" i="183"/>
  <c r="Q9" i="183"/>
  <c r="M161" i="183"/>
  <c r="W156" i="183"/>
  <c r="W124" i="183"/>
  <c r="V161" i="183"/>
  <c r="AP117" i="183"/>
  <c r="AE153" i="183"/>
  <c r="W161" i="183"/>
  <c r="J156" i="183"/>
  <c r="J129" i="183"/>
  <c r="I129" i="183"/>
  <c r="I156" i="183"/>
  <c r="G120" i="183"/>
  <c r="L156" i="183"/>
  <c r="L129" i="183"/>
  <c r="L126" i="183"/>
  <c r="AB161" i="183"/>
  <c r="K129" i="183"/>
  <c r="K156" i="183"/>
  <c r="J161" i="183"/>
  <c r="AP114" i="183"/>
  <c r="AE150" i="183"/>
  <c r="I161" i="183"/>
  <c r="S42" i="183"/>
  <c r="S41" i="183"/>
  <c r="S40" i="183"/>
  <c r="S39" i="183"/>
  <c r="S38" i="183"/>
  <c r="S37" i="183"/>
  <c r="S28" i="183"/>
  <c r="S27" i="183"/>
  <c r="S26" i="183"/>
  <c r="S25" i="183"/>
  <c r="S24" i="183"/>
  <c r="S23" i="183"/>
  <c r="S22" i="183"/>
  <c r="S21" i="183"/>
  <c r="S20" i="183"/>
  <c r="S19" i="183"/>
  <c r="S18" i="183"/>
  <c r="S17" i="183"/>
  <c r="S16" i="183"/>
  <c r="S15" i="183"/>
  <c r="S14" i="183"/>
  <c r="S13" i="183"/>
  <c r="S12" i="183"/>
  <c r="S11" i="183"/>
  <c r="S10" i="183"/>
  <c r="S9" i="183"/>
  <c r="S8" i="183"/>
  <c r="S7" i="183"/>
  <c r="AL227" i="185" l="1"/>
  <c r="AL234" i="185"/>
  <c r="AL232" i="185"/>
  <c r="AL230" i="185"/>
  <c r="AL233" i="185"/>
  <c r="AL231" i="185"/>
  <c r="AL229" i="185"/>
  <c r="AL228" i="185"/>
  <c r="AL226" i="185"/>
  <c r="AL225" i="185"/>
  <c r="AF35" i="184"/>
  <c r="AF39" i="184" s="1"/>
  <c r="AF36" i="184"/>
  <c r="AF40" i="184" s="1"/>
  <c r="AF30" i="184"/>
  <c r="AF31" i="184" s="1"/>
  <c r="AF38" i="184" s="1"/>
  <c r="AB240" i="185"/>
  <c r="Y240" i="185"/>
  <c r="R240" i="185"/>
  <c r="P240" i="185"/>
  <c r="M240" i="185"/>
  <c r="J240" i="185"/>
  <c r="D240" i="185"/>
  <c r="X240" i="185"/>
  <c r="G240" i="185"/>
  <c r="L240" i="185"/>
  <c r="AA240" i="185"/>
  <c r="I240" i="185"/>
  <c r="O240" i="185"/>
  <c r="W240" i="185"/>
  <c r="Z240" i="185"/>
  <c r="U240" i="185"/>
  <c r="K240" i="185"/>
  <c r="S240" i="185"/>
  <c r="F240" i="185"/>
  <c r="V240" i="185"/>
  <c r="E240" i="185"/>
  <c r="N240" i="185"/>
  <c r="T240" i="185"/>
  <c r="H240" i="185"/>
  <c r="Q240" i="185"/>
  <c r="R33" i="184"/>
  <c r="AF15" i="184"/>
  <c r="C7" i="184"/>
  <c r="P92" i="184" s="1"/>
  <c r="J47" i="182"/>
  <c r="J46" i="182"/>
  <c r="Q47" i="182"/>
  <c r="Q46" i="182"/>
  <c r="C104" i="184"/>
  <c r="AH110" i="184" s="1"/>
  <c r="AJ110" i="184" s="1"/>
  <c r="R33" i="185"/>
  <c r="AF15" i="185"/>
  <c r="C102" i="185"/>
  <c r="R3" i="185"/>
  <c r="AF14" i="185"/>
  <c r="C7" i="185"/>
  <c r="Z155" i="183"/>
  <c r="Z157" i="183" s="1"/>
  <c r="N155" i="183"/>
  <c r="N157" i="183" s="1"/>
  <c r="Q29" i="182"/>
  <c r="E246" i="184"/>
  <c r="E245" i="184"/>
  <c r="E244" i="184"/>
  <c r="E243" i="184"/>
  <c r="AE226" i="183"/>
  <c r="AG226" i="183" s="1"/>
  <c r="AF225" i="183"/>
  <c r="AE234" i="183"/>
  <c r="AG234" i="183" s="1"/>
  <c r="AE227" i="183"/>
  <c r="AG227" i="183" s="1"/>
  <c r="AK127" i="184"/>
  <c r="C105" i="184"/>
  <c r="AE235" i="183"/>
  <c r="AE225" i="183"/>
  <c r="AF231" i="183"/>
  <c r="AG231" i="183" s="1"/>
  <c r="T14" i="183"/>
  <c r="T38" i="183"/>
  <c r="AE233" i="183"/>
  <c r="AG233" i="183" s="1"/>
  <c r="AE232" i="183"/>
  <c r="AG232" i="183" s="1"/>
  <c r="E155" i="183"/>
  <c r="E157" i="183" s="1"/>
  <c r="T42" i="183"/>
  <c r="T19" i="183"/>
  <c r="T22" i="183"/>
  <c r="T18" i="183"/>
  <c r="AA157" i="183"/>
  <c r="S157" i="183"/>
  <c r="L157" i="183"/>
  <c r="Q157" i="183"/>
  <c r="V157" i="183"/>
  <c r="I157" i="183"/>
  <c r="U157" i="183"/>
  <c r="Y157" i="183"/>
  <c r="W157" i="183"/>
  <c r="X157" i="183"/>
  <c r="O157" i="183"/>
  <c r="Q26" i="182"/>
  <c r="Q11" i="183"/>
  <c r="T11" i="183" s="1"/>
  <c r="Q25" i="182"/>
  <c r="J119" i="183"/>
  <c r="J155" i="183" s="1"/>
  <c r="J157" i="183" s="1"/>
  <c r="Q25" i="183"/>
  <c r="T25" i="183" s="1"/>
  <c r="T13" i="183"/>
  <c r="T12" i="183"/>
  <c r="AD118" i="183"/>
  <c r="AD154" i="183" s="1"/>
  <c r="AF154" i="183" s="1"/>
  <c r="AD114" i="183"/>
  <c r="AD150" i="183" s="1"/>
  <c r="AF150" i="183" s="1"/>
  <c r="T15" i="183"/>
  <c r="Q8" i="183"/>
  <c r="T8" i="183" s="1"/>
  <c r="T24" i="183"/>
  <c r="T28" i="183"/>
  <c r="M119" i="183"/>
  <c r="M155" i="183" s="1"/>
  <c r="M157" i="183" s="1"/>
  <c r="F119" i="183"/>
  <c r="F155" i="183" s="1"/>
  <c r="F157" i="183" s="1"/>
  <c r="Q10" i="183"/>
  <c r="T10" i="183" s="1"/>
  <c r="T41" i="183"/>
  <c r="G119" i="183"/>
  <c r="G155" i="183" s="1"/>
  <c r="AD117" i="183"/>
  <c r="AD153" i="183" s="1"/>
  <c r="AF153" i="183" s="1"/>
  <c r="AE115" i="183"/>
  <c r="AE151" i="183" s="1"/>
  <c r="AF151" i="183" s="1"/>
  <c r="T23" i="183"/>
  <c r="T40" i="183"/>
  <c r="AD109" i="183"/>
  <c r="T16" i="183"/>
  <c r="T39" i="183"/>
  <c r="K119" i="183"/>
  <c r="K155" i="183" s="1"/>
  <c r="K157" i="183" s="1"/>
  <c r="AE111" i="183"/>
  <c r="Q43" i="183"/>
  <c r="T20" i="183"/>
  <c r="T21" i="183"/>
  <c r="Q17" i="183"/>
  <c r="T17" i="183" s="1"/>
  <c r="R157" i="183"/>
  <c r="T27" i="183"/>
  <c r="S43" i="183"/>
  <c r="S29" i="183"/>
  <c r="T9" i="183"/>
  <c r="T26" i="183"/>
  <c r="T37" i="183"/>
  <c r="T7" i="183"/>
  <c r="AD149" i="183"/>
  <c r="AF149" i="183" s="1"/>
  <c r="AD152" i="183"/>
  <c r="AF152" i="183" s="1"/>
  <c r="G156" i="183"/>
  <c r="AD148" i="183"/>
  <c r="AF148" i="183" s="1"/>
  <c r="AD147" i="183"/>
  <c r="AD146" i="183"/>
  <c r="AF146" i="183" s="1"/>
  <c r="AF37" i="184" l="1"/>
  <c r="AF43" i="184" s="1"/>
  <c r="AF35" i="185"/>
  <c r="AF39" i="185" s="1"/>
  <c r="AF36" i="185"/>
  <c r="AF40" i="185" s="1"/>
  <c r="AF30" i="185"/>
  <c r="AF37" i="185" s="1"/>
  <c r="Q92" i="184"/>
  <c r="O92" i="184"/>
  <c r="R92" i="184"/>
  <c r="E244" i="185"/>
  <c r="E243" i="185"/>
  <c r="E246" i="185"/>
  <c r="E245" i="185"/>
  <c r="AH117" i="184"/>
  <c r="AJ117" i="184" s="1"/>
  <c r="AH109" i="184"/>
  <c r="AJ109" i="184" s="1"/>
  <c r="AH118" i="184"/>
  <c r="AM118" i="184" s="1"/>
  <c r="AO118" i="184" s="1"/>
  <c r="AH115" i="184"/>
  <c r="AI115" i="184" s="1"/>
  <c r="AJ115" i="184" s="1"/>
  <c r="AH113" i="184"/>
  <c r="AJ113" i="184" s="1"/>
  <c r="AH112" i="184"/>
  <c r="AJ112" i="184" s="1"/>
  <c r="AH116" i="184"/>
  <c r="AM116" i="184" s="1"/>
  <c r="AO116" i="184" s="1"/>
  <c r="AH114" i="184"/>
  <c r="AJ114" i="184" s="1"/>
  <c r="AH111" i="184"/>
  <c r="AI111" i="184" s="1"/>
  <c r="AK127" i="185"/>
  <c r="C105" i="185"/>
  <c r="R92" i="185"/>
  <c r="Q92" i="185"/>
  <c r="P92" i="185"/>
  <c r="O92" i="185"/>
  <c r="AF42" i="184"/>
  <c r="AF45" i="184" s="1"/>
  <c r="C104" i="185"/>
  <c r="AF41" i="184"/>
  <c r="AF44" i="184" s="1"/>
  <c r="E247" i="184"/>
  <c r="E259" i="184" s="1"/>
  <c r="C26" i="184" s="1"/>
  <c r="K29" i="186" s="1"/>
  <c r="E248" i="184"/>
  <c r="E260" i="184" s="1"/>
  <c r="C27" i="184" s="1"/>
  <c r="K30" i="186" s="1"/>
  <c r="AG225" i="183"/>
  <c r="AB235" i="183" s="1"/>
  <c r="AG129" i="184"/>
  <c r="V123" i="184"/>
  <c r="W123" i="184"/>
  <c r="AC123" i="184"/>
  <c r="Y123" i="184"/>
  <c r="P123" i="184"/>
  <c r="S123" i="184"/>
  <c r="E123" i="184"/>
  <c r="T123" i="184"/>
  <c r="N123" i="184"/>
  <c r="R123" i="184"/>
  <c r="R124" i="184" s="1"/>
  <c r="U123" i="184"/>
  <c r="I123" i="184"/>
  <c r="I128" i="184" s="1"/>
  <c r="F123" i="184"/>
  <c r="L123" i="184"/>
  <c r="K123" i="184"/>
  <c r="K128" i="184" s="1"/>
  <c r="AB123" i="184"/>
  <c r="Q123" i="184"/>
  <c r="M123" i="184"/>
  <c r="Z123" i="184"/>
  <c r="X123" i="184"/>
  <c r="O123" i="184"/>
  <c r="J123" i="184"/>
  <c r="J128" i="184" s="1"/>
  <c r="G123" i="184"/>
  <c r="G124" i="184" s="1"/>
  <c r="AA123" i="184"/>
  <c r="H123" i="184"/>
  <c r="H128" i="184" s="1"/>
  <c r="D237" i="183" a="1"/>
  <c r="T237" i="183" s="1"/>
  <c r="D236" i="183" a="1"/>
  <c r="AF117" i="183" a="1"/>
  <c r="AF117" i="183" s="1"/>
  <c r="AG153" i="183" s="1"/>
  <c r="AF115" i="183" a="1"/>
  <c r="AF115" i="183" s="1"/>
  <c r="AG151" i="183" s="1"/>
  <c r="AF114" i="183" a="1"/>
  <c r="AF114" i="183" s="1"/>
  <c r="AG150" i="183" s="1"/>
  <c r="AD145" i="183"/>
  <c r="AF145" i="183" s="1"/>
  <c r="K158" i="183" a="1"/>
  <c r="K158" i="183" s="1"/>
  <c r="K159" i="183" s="1"/>
  <c r="V158" i="183" a="1"/>
  <c r="V158" i="183" s="1"/>
  <c r="V159" i="183" s="1"/>
  <c r="P121" i="183" a="1"/>
  <c r="P121" i="183" s="1"/>
  <c r="AA121" i="183" a="1"/>
  <c r="AA121" i="183" s="1"/>
  <c r="W158" i="183" a="1"/>
  <c r="W158" i="183" s="1"/>
  <c r="W159" i="183" s="1"/>
  <c r="F121" i="183" a="1"/>
  <c r="F121" i="183" s="1"/>
  <c r="AB121" i="183" a="1"/>
  <c r="AB121" i="183" s="1"/>
  <c r="L158" i="183" a="1"/>
  <c r="L158" i="183" s="1"/>
  <c r="L159" i="183" s="1"/>
  <c r="X158" i="183" a="1"/>
  <c r="X158" i="183" s="1"/>
  <c r="X159" i="183" s="1"/>
  <c r="G121" i="183" a="1"/>
  <c r="G121" i="183" s="1"/>
  <c r="Q121" i="183" a="1"/>
  <c r="Q121" i="183" s="1"/>
  <c r="AC121" i="183" a="1"/>
  <c r="AC121" i="183" s="1"/>
  <c r="I121" i="183" a="1"/>
  <c r="I121" i="183" s="1"/>
  <c r="Z121" i="183" a="1"/>
  <c r="Z121" i="183" s="1"/>
  <c r="M158" i="183" a="1"/>
  <c r="M158" i="183" s="1"/>
  <c r="M159" i="183" s="1"/>
  <c r="Y158" i="183" a="1"/>
  <c r="Y158" i="183" s="1"/>
  <c r="Y159" i="183" s="1"/>
  <c r="H121" i="183" a="1"/>
  <c r="H121" i="183" s="1"/>
  <c r="R121" i="183" a="1"/>
  <c r="R121" i="183" s="1"/>
  <c r="E121" i="183" a="1"/>
  <c r="E121" i="183" s="1"/>
  <c r="N158" i="183" a="1"/>
  <c r="N158" i="183" s="1"/>
  <c r="N159" i="183" s="1"/>
  <c r="S121" i="183" a="1"/>
  <c r="S121" i="183" s="1"/>
  <c r="J121" i="183" a="1"/>
  <c r="J121" i="183" s="1"/>
  <c r="O121" i="183" a="1"/>
  <c r="O121" i="183" s="1"/>
  <c r="Z158" i="183" a="1"/>
  <c r="Z158" i="183" s="1"/>
  <c r="Z159" i="183" s="1"/>
  <c r="O158" i="183" a="1"/>
  <c r="O158" i="183" s="1"/>
  <c r="O159" i="183" s="1"/>
  <c r="AA158" i="183" a="1"/>
  <c r="AA158" i="183" s="1"/>
  <c r="AA159" i="183" s="1"/>
  <c r="T121" i="183" a="1"/>
  <c r="T121" i="183" s="1"/>
  <c r="P158" i="183" a="1"/>
  <c r="P158" i="183" s="1"/>
  <c r="P159" i="183" s="1"/>
  <c r="AB158" i="183" a="1"/>
  <c r="AB158" i="183" s="1"/>
  <c r="AB159" i="183" s="1"/>
  <c r="U121" i="183" a="1"/>
  <c r="U121" i="183" s="1"/>
  <c r="Q158" i="183" a="1"/>
  <c r="Q158" i="183" s="1"/>
  <c r="Q159" i="183" s="1"/>
  <c r="AC158" i="183" a="1"/>
  <c r="AC158" i="183" s="1"/>
  <c r="AC159" i="183" s="1"/>
  <c r="K121" i="183" a="1"/>
  <c r="K121" i="183" s="1"/>
  <c r="V121" i="183" a="1"/>
  <c r="V121" i="183" s="1"/>
  <c r="E158" i="183" a="1"/>
  <c r="E158" i="183" s="1"/>
  <c r="E159" i="183" s="1"/>
  <c r="X121" i="183" a="1"/>
  <c r="X121" i="183" s="1"/>
  <c r="N121" i="183" a="1"/>
  <c r="N121" i="183" s="1"/>
  <c r="U158" i="183" a="1"/>
  <c r="U158" i="183" s="1"/>
  <c r="U159" i="183" s="1"/>
  <c r="G158" i="183" a="1"/>
  <c r="G158" i="183" s="1"/>
  <c r="R158" i="183" a="1"/>
  <c r="R158" i="183" s="1"/>
  <c r="R159" i="183" s="1"/>
  <c r="F158" i="183" a="1"/>
  <c r="F158" i="183" s="1"/>
  <c r="F159" i="183" s="1"/>
  <c r="L121" i="183" a="1"/>
  <c r="L121" i="183" s="1"/>
  <c r="W121" i="183" a="1"/>
  <c r="W121" i="183" s="1"/>
  <c r="S158" i="183" a="1"/>
  <c r="S158" i="183" s="1"/>
  <c r="S159" i="183" s="1"/>
  <c r="I158" i="183" a="1"/>
  <c r="I158" i="183" s="1"/>
  <c r="I159" i="183" s="1"/>
  <c r="T158" i="183" a="1"/>
  <c r="T158" i="183" s="1"/>
  <c r="T159" i="183" s="1"/>
  <c r="Y121" i="183" a="1"/>
  <c r="Y121" i="183" s="1"/>
  <c r="H158" i="183" a="1"/>
  <c r="H158" i="183" s="1"/>
  <c r="H159" i="183" s="1"/>
  <c r="M121" i="183" a="1"/>
  <c r="M121" i="183" s="1"/>
  <c r="J158" i="183" a="1"/>
  <c r="J158" i="183" s="1"/>
  <c r="J159" i="183" s="1"/>
  <c r="AF116" i="183" a="1"/>
  <c r="AF116" i="183" s="1"/>
  <c r="AG152" i="183" s="1"/>
  <c r="AF113" i="183" a="1"/>
  <c r="AF113" i="183" s="1"/>
  <c r="AG149" i="183" s="1"/>
  <c r="AF112" i="183" a="1"/>
  <c r="AF112" i="183" s="1"/>
  <c r="AG148" i="183" s="1"/>
  <c r="AF111" i="183" a="1"/>
  <c r="AF111" i="183" s="1"/>
  <c r="AG147" i="183" s="1"/>
  <c r="AF110" i="183" a="1"/>
  <c r="AF110" i="183" s="1"/>
  <c r="AG146" i="183" s="1"/>
  <c r="AF109" i="183" a="1"/>
  <c r="AF109" i="183" s="1"/>
  <c r="AG145" i="183" s="1"/>
  <c r="AF118" i="183" a="1"/>
  <c r="AF118" i="183" s="1"/>
  <c r="AG154" i="183" s="1"/>
  <c r="AI146" i="183" a="1"/>
  <c r="AI146" i="183" s="1"/>
  <c r="AH152" i="183" a="1"/>
  <c r="AH152" i="183" s="1"/>
  <c r="AI147" i="183" a="1"/>
  <c r="AI147" i="183" s="1"/>
  <c r="AH153" i="183" a="1"/>
  <c r="AH153" i="183" s="1"/>
  <c r="AI148" i="183" a="1"/>
  <c r="AI148" i="183" s="1"/>
  <c r="AH154" i="183" a="1"/>
  <c r="AH154" i="183" s="1"/>
  <c r="AI150" i="183" a="1"/>
  <c r="AI150" i="183" s="1"/>
  <c r="AI149" i="183" a="1"/>
  <c r="AI149" i="183" s="1"/>
  <c r="AH146" i="183" a="1"/>
  <c r="AH146" i="183" s="1"/>
  <c r="AH147" i="183" a="1"/>
  <c r="AH147" i="183" s="1"/>
  <c r="AI151" i="183" a="1"/>
  <c r="AI151" i="183" s="1"/>
  <c r="AH148" i="183" a="1"/>
  <c r="AH148" i="183" s="1"/>
  <c r="AI152" i="183" a="1"/>
  <c r="AI152" i="183" s="1"/>
  <c r="AH149" i="183" a="1"/>
  <c r="AH149" i="183" s="1"/>
  <c r="AI153" i="183" a="1"/>
  <c r="AI153" i="183" s="1"/>
  <c r="AH145" i="183" a="1"/>
  <c r="AH145" i="183" s="1"/>
  <c r="AH150" i="183" a="1"/>
  <c r="AH150" i="183" s="1"/>
  <c r="AI154" i="183" a="1"/>
  <c r="AI154" i="183" s="1"/>
  <c r="AH151" i="183" a="1"/>
  <c r="AH151" i="183" s="1"/>
  <c r="AI145" i="183" a="1"/>
  <c r="AI145" i="183" s="1"/>
  <c r="K79" i="183"/>
  <c r="K66" i="183"/>
  <c r="K69" i="183"/>
  <c r="K70" i="183"/>
  <c r="K78" i="183"/>
  <c r="T43" i="183"/>
  <c r="AE147" i="183"/>
  <c r="AF147" i="183" s="1"/>
  <c r="AE120" i="183"/>
  <c r="AE156" i="183" s="1"/>
  <c r="Q29" i="183"/>
  <c r="T29" i="183"/>
  <c r="G157" i="183"/>
  <c r="AF15" i="183"/>
  <c r="R33" i="183"/>
  <c r="C102" i="183"/>
  <c r="C7" i="183"/>
  <c r="R3" i="183"/>
  <c r="AF14" i="183"/>
  <c r="AF31" i="185" l="1"/>
  <c r="AF38" i="185" s="1"/>
  <c r="AF42" i="185" s="1"/>
  <c r="AF45" i="185" s="1"/>
  <c r="AJ118" i="184"/>
  <c r="AM117" i="184"/>
  <c r="AO117" i="184" s="1"/>
  <c r="E247" i="185"/>
  <c r="E259" i="185" s="1"/>
  <c r="E248" i="185"/>
  <c r="E260" i="185" s="1"/>
  <c r="C27" i="185" s="1"/>
  <c r="L30" i="186" s="1"/>
  <c r="AH120" i="184"/>
  <c r="AJ116" i="184"/>
  <c r="AH115" i="185"/>
  <c r="AH116" i="185"/>
  <c r="AH114" i="185"/>
  <c r="AJ114" i="185" s="1"/>
  <c r="AH117" i="185"/>
  <c r="AH113" i="185"/>
  <c r="AJ113" i="185" s="1"/>
  <c r="AH112" i="185"/>
  <c r="AJ112" i="185" s="1"/>
  <c r="AH109" i="185"/>
  <c r="AH118" i="185"/>
  <c r="AH110" i="185"/>
  <c r="AJ110" i="185" s="1"/>
  <c r="AH111" i="185"/>
  <c r="AG129" i="185"/>
  <c r="F123" i="185"/>
  <c r="S123" i="185"/>
  <c r="O123" i="185"/>
  <c r="K123" i="185"/>
  <c r="K128" i="185" s="1"/>
  <c r="X123" i="185"/>
  <c r="W123" i="185"/>
  <c r="H123" i="185"/>
  <c r="H128" i="185" s="1"/>
  <c r="V123" i="185"/>
  <c r="I123" i="185"/>
  <c r="I128" i="185" s="1"/>
  <c r="Z123" i="185"/>
  <c r="G123" i="185"/>
  <c r="G124" i="185" s="1"/>
  <c r="M123" i="185"/>
  <c r="AB123" i="185"/>
  <c r="T123" i="185"/>
  <c r="U123" i="185"/>
  <c r="N123" i="185"/>
  <c r="L123" i="185"/>
  <c r="J123" i="185"/>
  <c r="J128" i="185" s="1"/>
  <c r="Y123" i="185"/>
  <c r="R123" i="185"/>
  <c r="R124" i="185" s="1"/>
  <c r="AC123" i="185"/>
  <c r="Q123" i="185"/>
  <c r="AA123" i="185"/>
  <c r="P123" i="185"/>
  <c r="E123" i="185"/>
  <c r="P43" i="182"/>
  <c r="P44" i="182"/>
  <c r="E261" i="184"/>
  <c r="E262" i="184" s="1"/>
  <c r="R235" i="183"/>
  <c r="S235" i="183"/>
  <c r="Z125" i="184"/>
  <c r="Z128" i="184" s="1"/>
  <c r="Y235" i="183"/>
  <c r="L235" i="183"/>
  <c r="D235" i="183"/>
  <c r="I235" i="183"/>
  <c r="F235" i="183"/>
  <c r="E235" i="183"/>
  <c r="N235" i="183"/>
  <c r="K235" i="183"/>
  <c r="V235" i="183"/>
  <c r="Q235" i="183"/>
  <c r="H235" i="183"/>
  <c r="J235" i="183"/>
  <c r="Z235" i="183"/>
  <c r="O235" i="183"/>
  <c r="U235" i="183"/>
  <c r="W235" i="183"/>
  <c r="M235" i="183"/>
  <c r="X235" i="183"/>
  <c r="G235" i="183"/>
  <c r="T235" i="183"/>
  <c r="AA235" i="183"/>
  <c r="P235" i="183"/>
  <c r="AI120" i="184"/>
  <c r="AJ111" i="184"/>
  <c r="AK109" i="184" s="1"/>
  <c r="AO109" i="184" s="1"/>
  <c r="F125" i="184"/>
  <c r="G125" i="184" s="1"/>
  <c r="N124" i="184"/>
  <c r="N125" i="184" s="1"/>
  <c r="AD123" i="184"/>
  <c r="E125" i="184"/>
  <c r="E128" i="184" s="1"/>
  <c r="M125" i="184"/>
  <c r="W237" i="183"/>
  <c r="X237" i="183"/>
  <c r="AB237" i="183"/>
  <c r="AA237" i="183"/>
  <c r="Z237" i="183"/>
  <c r="U237" i="183"/>
  <c r="K237" i="183"/>
  <c r="G237" i="183"/>
  <c r="L237" i="183"/>
  <c r="J237" i="183"/>
  <c r="Q237" i="183"/>
  <c r="F237" i="183"/>
  <c r="M237" i="183"/>
  <c r="N237" i="183"/>
  <c r="R237" i="183"/>
  <c r="I237" i="183"/>
  <c r="H237" i="183"/>
  <c r="S237" i="183"/>
  <c r="E237" i="183"/>
  <c r="O237" i="183"/>
  <c r="D237" i="183"/>
  <c r="P237" i="183"/>
  <c r="Y237" i="183"/>
  <c r="V237" i="183"/>
  <c r="X236" i="183"/>
  <c r="AA236" i="183"/>
  <c r="L236" i="183"/>
  <c r="AB236" i="183"/>
  <c r="W236" i="183"/>
  <c r="N236" i="183"/>
  <c r="V236" i="183"/>
  <c r="Z236" i="183"/>
  <c r="J236" i="183"/>
  <c r="D236" i="183"/>
  <c r="F236" i="183"/>
  <c r="U236" i="183"/>
  <c r="I236" i="183"/>
  <c r="H236" i="183"/>
  <c r="T236" i="183"/>
  <c r="T238" i="183" s="1"/>
  <c r="G236" i="183"/>
  <c r="Y236" i="183"/>
  <c r="E236" i="183"/>
  <c r="Q236" i="183"/>
  <c r="S236" i="183"/>
  <c r="K236" i="183"/>
  <c r="O236" i="183"/>
  <c r="M236" i="183"/>
  <c r="P236" i="183"/>
  <c r="R236" i="183"/>
  <c r="AF155" i="183"/>
  <c r="AA122" i="183"/>
  <c r="N122" i="183"/>
  <c r="E172" i="183"/>
  <c r="AC122" i="183"/>
  <c r="I122" i="183"/>
  <c r="V122" i="183"/>
  <c r="T122" i="183"/>
  <c r="Y122" i="183"/>
  <c r="X122" i="183"/>
  <c r="Q122" i="183"/>
  <c r="S122" i="183"/>
  <c r="F122" i="183"/>
  <c r="G122" i="183"/>
  <c r="E122" i="183"/>
  <c r="L122" i="183"/>
  <c r="G159" i="183"/>
  <c r="E175" i="183" s="1"/>
  <c r="O122" i="183"/>
  <c r="J122" i="183"/>
  <c r="M122" i="183"/>
  <c r="P122" i="183"/>
  <c r="AB122" i="183"/>
  <c r="U122" i="183"/>
  <c r="K122" i="183"/>
  <c r="W122" i="183"/>
  <c r="AG114" i="183"/>
  <c r="AG111" i="183"/>
  <c r="H122" i="183"/>
  <c r="AG109" i="183"/>
  <c r="AG117" i="183"/>
  <c r="AG115" i="183"/>
  <c r="AG110" i="183"/>
  <c r="AG112" i="183"/>
  <c r="AG116" i="183"/>
  <c r="AG118" i="183"/>
  <c r="Z122" i="183"/>
  <c r="R122" i="183"/>
  <c r="AG113" i="183"/>
  <c r="AK153" i="183"/>
  <c r="AJ153" i="183" s="1"/>
  <c r="AL153" i="183" s="1"/>
  <c r="AK145" i="183"/>
  <c r="AM145" i="183" s="1"/>
  <c r="AK152" i="183"/>
  <c r="AJ152" i="183" s="1"/>
  <c r="AL152" i="183" s="1"/>
  <c r="AK154" i="183"/>
  <c r="AJ154" i="183" s="1"/>
  <c r="AL154" i="183" s="1"/>
  <c r="AK150" i="183"/>
  <c r="AJ150" i="183" s="1"/>
  <c r="AL150" i="183" s="1"/>
  <c r="AK149" i="183"/>
  <c r="AM149" i="183" s="1"/>
  <c r="AK147" i="183"/>
  <c r="AJ147" i="183" s="1"/>
  <c r="AL147" i="183" s="1"/>
  <c r="AK148" i="183"/>
  <c r="AM148" i="183" s="1"/>
  <c r="AK151" i="183"/>
  <c r="AJ151" i="183" s="1"/>
  <c r="AL151" i="183" s="1"/>
  <c r="AK146" i="183"/>
  <c r="AJ146" i="183" s="1"/>
  <c r="AL146" i="183" s="1"/>
  <c r="Q92" i="183"/>
  <c r="R92" i="183"/>
  <c r="P92" i="183"/>
  <c r="O92" i="183"/>
  <c r="AK127" i="183"/>
  <c r="C105" i="183"/>
  <c r="C104" i="183"/>
  <c r="AF41" i="185" l="1"/>
  <c r="AF44" i="185" s="1"/>
  <c r="AF43" i="185"/>
  <c r="AJ120" i="184"/>
  <c r="Q44" i="182"/>
  <c r="E261" i="185"/>
  <c r="C26" i="185"/>
  <c r="L29" i="186" s="1"/>
  <c r="C25" i="184"/>
  <c r="K28" i="186" s="1"/>
  <c r="N124" i="185"/>
  <c r="AD124" i="185" s="1"/>
  <c r="AM117" i="185"/>
  <c r="AO117" i="185" s="1"/>
  <c r="AJ117" i="185"/>
  <c r="E125" i="185"/>
  <c r="E128" i="185" s="1"/>
  <c r="M125" i="185"/>
  <c r="AD123" i="185"/>
  <c r="F125" i="185"/>
  <c r="AM116" i="185"/>
  <c r="AO116" i="185" s="1"/>
  <c r="AJ116" i="185"/>
  <c r="AI115" i="185"/>
  <c r="AJ115" i="185" s="1"/>
  <c r="Z125" i="185"/>
  <c r="AI111" i="185"/>
  <c r="AJ111" i="185" s="1"/>
  <c r="AM118" i="185"/>
  <c r="AO118" i="185" s="1"/>
  <c r="AJ118" i="185"/>
  <c r="AH120" i="185"/>
  <c r="AJ109" i="185"/>
  <c r="T239" i="183"/>
  <c r="AB128" i="184"/>
  <c r="AK112" i="184"/>
  <c r="AO112" i="184" s="1"/>
  <c r="AK113" i="184"/>
  <c r="AO113" i="184" s="1"/>
  <c r="AK111" i="184"/>
  <c r="AL111" i="184" s="1"/>
  <c r="AK110" i="184"/>
  <c r="AO110" i="184" s="1"/>
  <c r="AC128" i="184"/>
  <c r="AC125" i="184"/>
  <c r="AK115" i="184"/>
  <c r="AO115" i="184" s="1"/>
  <c r="AP115" i="184" s="1"/>
  <c r="AA125" i="184"/>
  <c r="AJ119" i="184"/>
  <c r="AB125" i="184"/>
  <c r="AK114" i="184"/>
  <c r="AO114" i="184" s="1"/>
  <c r="AA128" i="184"/>
  <c r="F128" i="184"/>
  <c r="AD124" i="184"/>
  <c r="AD125" i="184" s="1"/>
  <c r="X128" i="184"/>
  <c r="Y125" i="184"/>
  <c r="Y126" i="184" s="1"/>
  <c r="V128" i="184"/>
  <c r="N126" i="184"/>
  <c r="T129" i="184" s="1"/>
  <c r="W125" i="184"/>
  <c r="W126" i="184" s="1"/>
  <c r="S128" i="184"/>
  <c r="T125" i="184"/>
  <c r="T126" i="184" s="1"/>
  <c r="AC129" i="184"/>
  <c r="R128" i="184"/>
  <c r="S125" i="184"/>
  <c r="S126" i="184" s="1"/>
  <c r="AB129" i="184"/>
  <c r="Q128" i="184"/>
  <c r="R125" i="184"/>
  <c r="R126" i="184" s="1"/>
  <c r="AA129" i="184"/>
  <c r="Q125" i="184"/>
  <c r="Q126" i="184" s="1"/>
  <c r="Z129" i="184"/>
  <c r="P125" i="184"/>
  <c r="X125" i="184"/>
  <c r="X126" i="184" s="1"/>
  <c r="U125" i="184"/>
  <c r="U126" i="184" s="1"/>
  <c r="Y128" i="184"/>
  <c r="O125" i="184"/>
  <c r="W128" i="184"/>
  <c r="U128" i="184"/>
  <c r="N128" i="184"/>
  <c r="V125" i="184"/>
  <c r="V126" i="184" s="1"/>
  <c r="T128" i="184"/>
  <c r="G128" i="184"/>
  <c r="G126" i="184"/>
  <c r="L125" i="184"/>
  <c r="M127" i="184"/>
  <c r="M128" i="184" s="1"/>
  <c r="K238" i="183"/>
  <c r="K239" i="183" s="1"/>
  <c r="S238" i="183"/>
  <c r="S239" i="183" s="1"/>
  <c r="W238" i="183"/>
  <c r="W239" i="183" s="1"/>
  <c r="P238" i="183"/>
  <c r="P239" i="183" s="1"/>
  <c r="I238" i="183"/>
  <c r="I239" i="183" s="1"/>
  <c r="X238" i="183"/>
  <c r="X239" i="183" s="1"/>
  <c r="O238" i="183"/>
  <c r="O239" i="183" s="1"/>
  <c r="E238" i="183"/>
  <c r="E239" i="183" s="1"/>
  <c r="H238" i="183"/>
  <c r="H239" i="183" s="1"/>
  <c r="AA238" i="183"/>
  <c r="AA239" i="183" s="1"/>
  <c r="U238" i="183"/>
  <c r="U239" i="183" s="1"/>
  <c r="D238" i="183"/>
  <c r="D239" i="183" s="1"/>
  <c r="G238" i="183"/>
  <c r="G239" i="183" s="1"/>
  <c r="AB238" i="183"/>
  <c r="AB239" i="183" s="1"/>
  <c r="L238" i="183"/>
  <c r="L239" i="183" s="1"/>
  <c r="Z238" i="183"/>
  <c r="Z239" i="183" s="1"/>
  <c r="M238" i="183"/>
  <c r="M239" i="183" s="1"/>
  <c r="F238" i="183"/>
  <c r="J238" i="183"/>
  <c r="J239" i="183" s="1"/>
  <c r="Q238" i="183"/>
  <c r="Q239" i="183" s="1"/>
  <c r="V238" i="183"/>
  <c r="V239" i="183" s="1"/>
  <c r="R238" i="183"/>
  <c r="R239" i="183" s="1"/>
  <c r="N238" i="183"/>
  <c r="N239" i="183" s="1"/>
  <c r="Y238" i="183"/>
  <c r="Y239" i="183" s="1"/>
  <c r="F172" i="183"/>
  <c r="F175" i="183" s="1"/>
  <c r="AH117" i="183"/>
  <c r="AJ117" i="183" s="1"/>
  <c r="V123" i="183"/>
  <c r="AJ145" i="183"/>
  <c r="AL145" i="183" s="1"/>
  <c r="AM153" i="183"/>
  <c r="AM147" i="183"/>
  <c r="AJ149" i="183"/>
  <c r="AL149" i="183" s="1"/>
  <c r="AM154" i="183"/>
  <c r="AM150" i="183"/>
  <c r="AK155" i="183"/>
  <c r="AJ148" i="183"/>
  <c r="AL148" i="183" s="1"/>
  <c r="AM152" i="183"/>
  <c r="AM151" i="183"/>
  <c r="AM146" i="183"/>
  <c r="K123" i="183"/>
  <c r="K128" i="183" s="1"/>
  <c r="AH113" i="183"/>
  <c r="AJ113" i="183" s="1"/>
  <c r="I123" i="183"/>
  <c r="I128" i="183" s="1"/>
  <c r="Z123" i="183"/>
  <c r="J123" i="183"/>
  <c r="J128" i="183" s="1"/>
  <c r="AA123" i="183"/>
  <c r="T123" i="183"/>
  <c r="AH118" i="183"/>
  <c r="AM118" i="183" s="1"/>
  <c r="AO118" i="183" s="1"/>
  <c r="N123" i="183"/>
  <c r="O123" i="183"/>
  <c r="Q123" i="183"/>
  <c r="U123" i="183"/>
  <c r="AH116" i="183"/>
  <c r="AM116" i="183" s="1"/>
  <c r="AO116" i="183" s="1"/>
  <c r="M123" i="183"/>
  <c r="AC123" i="183"/>
  <c r="W123" i="183"/>
  <c r="AH115" i="183"/>
  <c r="AG129" i="183"/>
  <c r="E123" i="183"/>
  <c r="Y123" i="183"/>
  <c r="AB123" i="183"/>
  <c r="AH109" i="183"/>
  <c r="R123" i="183"/>
  <c r="R124" i="183" s="1"/>
  <c r="L123" i="183"/>
  <c r="AH114" i="183"/>
  <c r="AJ114" i="183" s="1"/>
  <c r="X123" i="183"/>
  <c r="G123" i="183"/>
  <c r="G124" i="183" s="1"/>
  <c r="P123" i="183"/>
  <c r="AH112" i="183"/>
  <c r="AJ112" i="183" s="1"/>
  <c r="AH110" i="183"/>
  <c r="AJ110" i="183" s="1"/>
  <c r="S123" i="183"/>
  <c r="H123" i="183"/>
  <c r="H128" i="183" s="1"/>
  <c r="F123" i="183"/>
  <c r="AH111" i="183"/>
  <c r="AJ123" i="184" l="1"/>
  <c r="AJ124" i="184" s="1"/>
  <c r="P42" i="182"/>
  <c r="Q43" i="182"/>
  <c r="E262" i="185"/>
  <c r="C25" i="185"/>
  <c r="L28" i="186" s="1"/>
  <c r="N125" i="185"/>
  <c r="T128" i="185" s="1"/>
  <c r="G125" i="185"/>
  <c r="F128" i="185"/>
  <c r="M127" i="185"/>
  <c r="M128" i="185" s="1"/>
  <c r="AI120" i="185"/>
  <c r="AJ120" i="185" s="1"/>
  <c r="AC128" i="185"/>
  <c r="Z128" i="185"/>
  <c r="AA125" i="185"/>
  <c r="AB128" i="185"/>
  <c r="AC125" i="185"/>
  <c r="AA128" i="185"/>
  <c r="AB125" i="185"/>
  <c r="AD125" i="185"/>
  <c r="AK111" i="185"/>
  <c r="AK109" i="185"/>
  <c r="AO109" i="185" s="1"/>
  <c r="AK113" i="185"/>
  <c r="AO113" i="185" s="1"/>
  <c r="AK115" i="185"/>
  <c r="AO115" i="185" s="1"/>
  <c r="AK112" i="185"/>
  <c r="AO112" i="185" s="1"/>
  <c r="AK110" i="185"/>
  <c r="AO110" i="185" s="1"/>
  <c r="AK114" i="185"/>
  <c r="AO114" i="185" s="1"/>
  <c r="AJ119" i="185"/>
  <c r="Z125" i="183"/>
  <c r="Z128" i="183" s="1"/>
  <c r="N124" i="183"/>
  <c r="N125" i="183" s="1"/>
  <c r="N128" i="183" s="1"/>
  <c r="AO111" i="184"/>
  <c r="AP111" i="184" s="1"/>
  <c r="O129" i="184"/>
  <c r="R129" i="184"/>
  <c r="X129" i="184"/>
  <c r="O128" i="184"/>
  <c r="O126" i="184"/>
  <c r="P129" i="184"/>
  <c r="U129" i="184"/>
  <c r="W129" i="184"/>
  <c r="G129" i="184"/>
  <c r="S129" i="184"/>
  <c r="P126" i="184"/>
  <c r="P128" i="184"/>
  <c r="Q129" i="184"/>
  <c r="V129" i="184"/>
  <c r="N129" i="184"/>
  <c r="Y129" i="184"/>
  <c r="L127" i="184"/>
  <c r="L128" i="184" s="1"/>
  <c r="AI234" i="183"/>
  <c r="AH234" i="183" s="1"/>
  <c r="AI228" i="183"/>
  <c r="AH228" i="183" s="1"/>
  <c r="AI227" i="183"/>
  <c r="AH227" i="183" s="1"/>
  <c r="AI225" i="183"/>
  <c r="AH225" i="183" s="1"/>
  <c r="AI232" i="183"/>
  <c r="AH232" i="183" s="1"/>
  <c r="AI230" i="183"/>
  <c r="AH230" i="183" s="1"/>
  <c r="AI231" i="183"/>
  <c r="AH231" i="183" s="1"/>
  <c r="AI226" i="183"/>
  <c r="AH226" i="183" s="1"/>
  <c r="AI229" i="183"/>
  <c r="AH229" i="183" s="1"/>
  <c r="F239" i="183"/>
  <c r="E251" i="183" s="1"/>
  <c r="AI233" i="183"/>
  <c r="AH233" i="183" s="1"/>
  <c r="AC233" i="183"/>
  <c r="AD228" i="183"/>
  <c r="AD226" i="183"/>
  <c r="AC231" i="183"/>
  <c r="AC226" i="183"/>
  <c r="AD233" i="183"/>
  <c r="AD232" i="183"/>
  <c r="AD234" i="183"/>
  <c r="E245" i="183"/>
  <c r="AC228" i="183"/>
  <c r="AC234" i="183"/>
  <c r="AD229" i="183"/>
  <c r="AC227" i="183"/>
  <c r="AD227" i="183"/>
  <c r="AD225" i="183"/>
  <c r="AD230" i="183"/>
  <c r="AC232" i="183"/>
  <c r="AC225" i="183"/>
  <c r="AD231" i="183"/>
  <c r="AC230" i="183"/>
  <c r="AC229" i="183"/>
  <c r="E246" i="183"/>
  <c r="AM117" i="183"/>
  <c r="AO117" i="183" s="1"/>
  <c r="E171" i="183"/>
  <c r="E173" i="183" s="1"/>
  <c r="AJ155" i="183"/>
  <c r="E174" i="183"/>
  <c r="E176" i="183" s="1"/>
  <c r="AJ118" i="183"/>
  <c r="AJ116" i="183"/>
  <c r="AD123" i="183"/>
  <c r="M125" i="183"/>
  <c r="E125" i="183"/>
  <c r="E128" i="183" s="1"/>
  <c r="AI111" i="183"/>
  <c r="AJ111" i="183" s="1"/>
  <c r="F125" i="183"/>
  <c r="AH120" i="183"/>
  <c r="AJ109" i="183"/>
  <c r="AI115" i="183"/>
  <c r="AJ115" i="183" s="1"/>
  <c r="W125" i="185" l="1"/>
  <c r="W126" i="185" s="1"/>
  <c r="N126" i="185"/>
  <c r="V129" i="185" s="1"/>
  <c r="X125" i="185"/>
  <c r="X126" i="185" s="1"/>
  <c r="U128" i="185"/>
  <c r="P125" i="185"/>
  <c r="P128" i="185" s="1"/>
  <c r="O125" i="185"/>
  <c r="O126" i="185" s="1"/>
  <c r="Q42" i="182"/>
  <c r="V125" i="185"/>
  <c r="V126" i="185" s="1"/>
  <c r="V128" i="185"/>
  <c r="W128" i="185"/>
  <c r="Y128" i="185"/>
  <c r="Z129" i="185"/>
  <c r="Y125" i="185"/>
  <c r="Y126" i="185" s="1"/>
  <c r="X128" i="185"/>
  <c r="N128" i="185"/>
  <c r="R125" i="185"/>
  <c r="R126" i="185" s="1"/>
  <c r="Q128" i="185"/>
  <c r="AB129" i="185"/>
  <c r="S125" i="185"/>
  <c r="S126" i="185" s="1"/>
  <c r="R128" i="185"/>
  <c r="AC129" i="185"/>
  <c r="Q125" i="185"/>
  <c r="Q126" i="185" s="1"/>
  <c r="T125" i="185"/>
  <c r="T126" i="185" s="1"/>
  <c r="S128" i="185"/>
  <c r="U125" i="185"/>
  <c r="U126" i="185" s="1"/>
  <c r="AA129" i="185"/>
  <c r="AJ123" i="185"/>
  <c r="AJ124" i="185" s="1"/>
  <c r="AP115" i="185"/>
  <c r="L125" i="185"/>
  <c r="G128" i="185"/>
  <c r="G126" i="185"/>
  <c r="AO111" i="185"/>
  <c r="AL111" i="185"/>
  <c r="AD124" i="183"/>
  <c r="AD125" i="183" s="1"/>
  <c r="AK225" i="183"/>
  <c r="AE129" i="184"/>
  <c r="AR131" i="184"/>
  <c r="AP121" i="184"/>
  <c r="AP122" i="184" s="1"/>
  <c r="AJ225" i="183"/>
  <c r="AK234" i="183"/>
  <c r="AJ230" i="183"/>
  <c r="AJ232" i="183"/>
  <c r="AJ228" i="183"/>
  <c r="AJ234" i="183"/>
  <c r="AK229" i="183"/>
  <c r="AK231" i="183"/>
  <c r="AK228" i="183"/>
  <c r="AJ227" i="183"/>
  <c r="AK232" i="183"/>
  <c r="AK227" i="183"/>
  <c r="E254" i="183"/>
  <c r="E243" i="183"/>
  <c r="E247" i="183" s="1"/>
  <c r="AJ226" i="183"/>
  <c r="AK230" i="183"/>
  <c r="AJ231" i="183"/>
  <c r="E244" i="183"/>
  <c r="E248" i="183" s="1"/>
  <c r="AJ229" i="183"/>
  <c r="AK233" i="183"/>
  <c r="AK226" i="183"/>
  <c r="AJ233" i="183"/>
  <c r="AK111" i="183"/>
  <c r="AK112" i="183"/>
  <c r="AO112" i="183" s="1"/>
  <c r="AK113" i="183"/>
  <c r="AO113" i="183" s="1"/>
  <c r="AK114" i="183"/>
  <c r="AO114" i="183" s="1"/>
  <c r="AK115" i="183"/>
  <c r="AO115" i="183" s="1"/>
  <c r="AK109" i="183"/>
  <c r="AO109" i="183" s="1"/>
  <c r="AK110" i="183"/>
  <c r="AO110" i="183" s="1"/>
  <c r="F171" i="183"/>
  <c r="F174" i="183" s="1"/>
  <c r="E177" i="183"/>
  <c r="AC128" i="183"/>
  <c r="AB129" i="183"/>
  <c r="Q125" i="183"/>
  <c r="Q126" i="183" s="1"/>
  <c r="R125" i="183"/>
  <c r="R126" i="183" s="1"/>
  <c r="R128" i="183"/>
  <c r="AC125" i="183"/>
  <c r="AB125" i="183"/>
  <c r="AA128" i="183"/>
  <c r="AA125" i="183"/>
  <c r="AB128" i="183"/>
  <c r="X128" i="183"/>
  <c r="Y128" i="183"/>
  <c r="Q128" i="183"/>
  <c r="AC129" i="183"/>
  <c r="S128" i="183"/>
  <c r="T128" i="183"/>
  <c r="U128" i="183"/>
  <c r="W125" i="183"/>
  <c r="W126" i="183" s="1"/>
  <c r="N126" i="183"/>
  <c r="O129" i="183" s="1"/>
  <c r="W128" i="183"/>
  <c r="AA129" i="183"/>
  <c r="P125" i="183"/>
  <c r="P128" i="183" s="1"/>
  <c r="X125" i="183"/>
  <c r="X126" i="183" s="1"/>
  <c r="T125" i="183"/>
  <c r="T126" i="183" s="1"/>
  <c r="U125" i="183"/>
  <c r="U126" i="183" s="1"/>
  <c r="Y125" i="183"/>
  <c r="Y126" i="183" s="1"/>
  <c r="S125" i="183"/>
  <c r="S126" i="183" s="1"/>
  <c r="V125" i="183"/>
  <c r="V126" i="183" s="1"/>
  <c r="V128" i="183"/>
  <c r="O125" i="183"/>
  <c r="O126" i="183" s="1"/>
  <c r="Z129" i="183"/>
  <c r="AI120" i="183"/>
  <c r="AJ120" i="183" s="1"/>
  <c r="AF43" i="183"/>
  <c r="AF42" i="183"/>
  <c r="AF45" i="183" s="1"/>
  <c r="AF41" i="183"/>
  <c r="AF44" i="183" s="1"/>
  <c r="AJ119" i="183"/>
  <c r="G125" i="183"/>
  <c r="F128" i="183"/>
  <c r="M127" i="183"/>
  <c r="M128" i="183" s="1"/>
  <c r="P129" i="185" l="1"/>
  <c r="S129" i="185"/>
  <c r="P126" i="185"/>
  <c r="W129" i="185"/>
  <c r="X129" i="185"/>
  <c r="Q129" i="185"/>
  <c r="Y129" i="185"/>
  <c r="T129" i="185"/>
  <c r="R129" i="185"/>
  <c r="O129" i="185"/>
  <c r="U129" i="185"/>
  <c r="N129" i="185"/>
  <c r="O128" i="185"/>
  <c r="AP111" i="185"/>
  <c r="AP121" i="185" s="1"/>
  <c r="AP122" i="185" s="1"/>
  <c r="L127" i="185"/>
  <c r="L128" i="185" s="1"/>
  <c r="G129" i="185"/>
  <c r="AK128" i="184"/>
  <c r="AE130" i="184"/>
  <c r="E250" i="183"/>
  <c r="E252" i="183" s="1"/>
  <c r="E259" i="183" s="1"/>
  <c r="C26" i="183" s="1"/>
  <c r="E253" i="183"/>
  <c r="E255" i="183" s="1"/>
  <c r="E260" i="183" s="1"/>
  <c r="P129" i="183"/>
  <c r="N129" i="183"/>
  <c r="S129" i="183"/>
  <c r="X129" i="183"/>
  <c r="Y129" i="183"/>
  <c r="W129" i="183"/>
  <c r="U129" i="183"/>
  <c r="V129" i="183"/>
  <c r="R129" i="183"/>
  <c r="Q129" i="183"/>
  <c r="T129" i="183"/>
  <c r="AJ123" i="183"/>
  <c r="AJ124" i="183" s="1"/>
  <c r="O128" i="183"/>
  <c r="P126" i="183"/>
  <c r="AP115" i="183"/>
  <c r="AO111" i="183"/>
  <c r="AL111" i="183"/>
  <c r="L125" i="183"/>
  <c r="G126" i="183"/>
  <c r="G128" i="183"/>
  <c r="AE129" i="185" l="1"/>
  <c r="AR131" i="185"/>
  <c r="AR132" i="184"/>
  <c r="AR133" i="184" s="1"/>
  <c r="AK132" i="184" s="1"/>
  <c r="AK129" i="184"/>
  <c r="O43" i="182"/>
  <c r="C27" i="183"/>
  <c r="E261" i="183"/>
  <c r="E262" i="183" s="1"/>
  <c r="L127" i="183"/>
  <c r="L128" i="183" s="1"/>
  <c r="AP111" i="183"/>
  <c r="G129" i="183"/>
  <c r="AK128" i="185" l="1"/>
  <c r="AE130" i="185"/>
  <c r="AK137" i="184"/>
  <c r="AK136" i="184"/>
  <c r="O44" i="182"/>
  <c r="C25" i="183"/>
  <c r="AE129" i="183"/>
  <c r="AE130" i="183" s="1"/>
  <c r="AR131" i="183"/>
  <c r="AP121" i="183"/>
  <c r="AK129" i="185" l="1"/>
  <c r="AR132" i="185"/>
  <c r="AR133" i="185" s="1"/>
  <c r="AK132" i="185" s="1"/>
  <c r="AT114" i="184"/>
  <c r="AT110" i="184"/>
  <c r="AT112" i="184"/>
  <c r="AT113" i="184"/>
  <c r="AT118" i="184"/>
  <c r="AT116" i="184"/>
  <c r="AT109" i="184"/>
  <c r="AT117" i="184"/>
  <c r="AS117" i="184"/>
  <c r="M72" i="184" s="1"/>
  <c r="O72" i="184" s="1"/>
  <c r="AS116" i="184"/>
  <c r="M71" i="184" s="1"/>
  <c r="O71" i="184" s="1"/>
  <c r="AS118" i="184"/>
  <c r="M59" i="184" s="1"/>
  <c r="O59" i="184" s="1"/>
  <c r="AS110" i="184"/>
  <c r="M54" i="184" s="1"/>
  <c r="O54" i="184" s="1"/>
  <c r="AS113" i="184"/>
  <c r="M57" i="184" s="1"/>
  <c r="O57" i="184" s="1"/>
  <c r="AS112" i="184"/>
  <c r="M56" i="184" s="1"/>
  <c r="O56" i="184" s="1"/>
  <c r="AS114" i="184"/>
  <c r="M58" i="184" s="1"/>
  <c r="O58" i="184" s="1"/>
  <c r="AS109" i="184"/>
  <c r="AS115" i="184"/>
  <c r="M76" i="184" s="1"/>
  <c r="O76" i="184" s="1"/>
  <c r="AS111" i="184"/>
  <c r="M55" i="184" s="1"/>
  <c r="O55" i="184" s="1"/>
  <c r="AT115" i="184"/>
  <c r="M80" i="184" s="1"/>
  <c r="AT111" i="184"/>
  <c r="M67" i="184" s="1"/>
  <c r="F133" i="184"/>
  <c r="I133" i="184"/>
  <c r="L133" i="184"/>
  <c r="H133" i="184"/>
  <c r="J133" i="184"/>
  <c r="K133" i="184"/>
  <c r="M133" i="184"/>
  <c r="E133" i="184"/>
  <c r="J132" i="184"/>
  <c r="M65" i="184" s="1"/>
  <c r="O65" i="184" s="1"/>
  <c r="H132" i="184"/>
  <c r="M63" i="184" s="1"/>
  <c r="O63" i="184" s="1"/>
  <c r="K132" i="184"/>
  <c r="M77" i="184" s="1"/>
  <c r="O77" i="184" s="1"/>
  <c r="I132" i="184"/>
  <c r="M64" i="184" s="1"/>
  <c r="O64" i="184" s="1"/>
  <c r="AB132" i="184"/>
  <c r="AC132" i="184"/>
  <c r="Z132" i="184"/>
  <c r="M79" i="184" s="1"/>
  <c r="AA132" i="184"/>
  <c r="F132" i="184"/>
  <c r="M61" i="184" s="1"/>
  <c r="O61" i="184" s="1"/>
  <c r="E132" i="184"/>
  <c r="AB133" i="184"/>
  <c r="M132" i="184"/>
  <c r="M74" i="184" s="1"/>
  <c r="O74" i="184" s="1"/>
  <c r="T132" i="184"/>
  <c r="N132" i="184"/>
  <c r="T133" i="184"/>
  <c r="X132" i="184"/>
  <c r="Z133" i="184"/>
  <c r="AA133" i="184"/>
  <c r="X133" i="184"/>
  <c r="R133" i="184"/>
  <c r="V132" i="184"/>
  <c r="Q132" i="184"/>
  <c r="AC133" i="184"/>
  <c r="R132" i="184"/>
  <c r="U132" i="184"/>
  <c r="W132" i="184"/>
  <c r="S132" i="184"/>
  <c r="G132" i="184"/>
  <c r="M62" i="184" s="1"/>
  <c r="O62" i="184" s="1"/>
  <c r="O133" i="184"/>
  <c r="Y132" i="184"/>
  <c r="L132" i="184"/>
  <c r="M73" i="184" s="1"/>
  <c r="O73" i="184" s="1"/>
  <c r="O132" i="184"/>
  <c r="P133" i="184"/>
  <c r="U133" i="184"/>
  <c r="Q133" i="184"/>
  <c r="V133" i="184"/>
  <c r="S133" i="184"/>
  <c r="P132" i="184"/>
  <c r="Y133" i="184"/>
  <c r="N133" i="184"/>
  <c r="G133" i="184"/>
  <c r="M68" i="184" s="1"/>
  <c r="W133" i="184"/>
  <c r="O42" i="182"/>
  <c r="AP122" i="183"/>
  <c r="AK128" i="183"/>
  <c r="AK137" i="185" l="1"/>
  <c r="AK136" i="185"/>
  <c r="M70" i="184"/>
  <c r="M69" i="184"/>
  <c r="O68" i="184"/>
  <c r="M78" i="184"/>
  <c r="M66" i="184"/>
  <c r="O67" i="184"/>
  <c r="O80" i="184"/>
  <c r="AS121" i="184"/>
  <c r="M75" i="184"/>
  <c r="O75" i="184" s="1"/>
  <c r="M53" i="184"/>
  <c r="O53" i="184" s="1"/>
  <c r="AE132" i="184"/>
  <c r="AE133" i="184" s="1"/>
  <c r="M60" i="184"/>
  <c r="O60" i="184" s="1"/>
  <c r="AR132" i="183"/>
  <c r="AR133" i="183" s="1"/>
  <c r="AK132" i="183" s="1"/>
  <c r="AK129" i="183"/>
  <c r="AT116" i="185" l="1"/>
  <c r="AT109" i="185"/>
  <c r="AT118" i="185"/>
  <c r="AT110" i="185"/>
  <c r="AT117" i="185"/>
  <c r="AT114" i="185"/>
  <c r="AT113" i="185"/>
  <c r="AT112" i="185"/>
  <c r="AS116" i="185"/>
  <c r="M71" i="185" s="1"/>
  <c r="O71" i="185" s="1"/>
  <c r="AS118" i="185"/>
  <c r="M59" i="185" s="1"/>
  <c r="O59" i="185" s="1"/>
  <c r="AS117" i="185"/>
  <c r="M72" i="185" s="1"/>
  <c r="O72" i="185" s="1"/>
  <c r="AS112" i="185"/>
  <c r="M56" i="185" s="1"/>
  <c r="O56" i="185" s="1"/>
  <c r="AS114" i="185"/>
  <c r="M58" i="185" s="1"/>
  <c r="O58" i="185" s="1"/>
  <c r="AS113" i="185"/>
  <c r="M57" i="185" s="1"/>
  <c r="O57" i="185" s="1"/>
  <c r="AS115" i="185"/>
  <c r="M76" i="185" s="1"/>
  <c r="O76" i="185" s="1"/>
  <c r="AS110" i="185"/>
  <c r="M54" i="185" s="1"/>
  <c r="O54" i="185" s="1"/>
  <c r="AS109" i="185"/>
  <c r="AS111" i="185"/>
  <c r="M55" i="185" s="1"/>
  <c r="O55" i="185" s="1"/>
  <c r="AT115" i="185"/>
  <c r="M80" i="185" s="1"/>
  <c r="AT111" i="185"/>
  <c r="M67" i="185" s="1"/>
  <c r="F133" i="185"/>
  <c r="L133" i="185"/>
  <c r="J133" i="185"/>
  <c r="I133" i="185"/>
  <c r="K133" i="185"/>
  <c r="M133" i="185"/>
  <c r="E133" i="185"/>
  <c r="H133" i="185"/>
  <c r="K132" i="185"/>
  <c r="M77" i="185" s="1"/>
  <c r="O77" i="185" s="1"/>
  <c r="I132" i="185"/>
  <c r="M64" i="185" s="1"/>
  <c r="O64" i="185" s="1"/>
  <c r="H132" i="185"/>
  <c r="M63" i="185" s="1"/>
  <c r="O63" i="185" s="1"/>
  <c r="J132" i="185"/>
  <c r="M65" i="185" s="1"/>
  <c r="O65" i="185" s="1"/>
  <c r="E132" i="185"/>
  <c r="V133" i="185"/>
  <c r="R132" i="185"/>
  <c r="Q132" i="185"/>
  <c r="Y132" i="185"/>
  <c r="T132" i="185"/>
  <c r="P133" i="185"/>
  <c r="AA133" i="185"/>
  <c r="W133" i="185"/>
  <c r="X133" i="185"/>
  <c r="N132" i="185"/>
  <c r="Q133" i="185"/>
  <c r="AB132" i="185"/>
  <c r="AA132" i="185"/>
  <c r="F132" i="185"/>
  <c r="M61" i="185" s="1"/>
  <c r="O61" i="185" s="1"/>
  <c r="W132" i="185"/>
  <c r="Z133" i="185"/>
  <c r="AB133" i="185"/>
  <c r="M132" i="185"/>
  <c r="M74" i="185" s="1"/>
  <c r="O74" i="185" s="1"/>
  <c r="Z132" i="185"/>
  <c r="M79" i="185" s="1"/>
  <c r="T133" i="185"/>
  <c r="U132" i="185"/>
  <c r="X132" i="185"/>
  <c r="N133" i="185"/>
  <c r="S133" i="185"/>
  <c r="AC133" i="185"/>
  <c r="S132" i="185"/>
  <c r="AC132" i="185"/>
  <c r="O133" i="185"/>
  <c r="V132" i="185"/>
  <c r="Y133" i="185"/>
  <c r="O132" i="185"/>
  <c r="R133" i="185"/>
  <c r="P132" i="185"/>
  <c r="U133" i="185"/>
  <c r="G132" i="185"/>
  <c r="M62" i="185" s="1"/>
  <c r="O62" i="185" s="1"/>
  <c r="L132" i="185"/>
  <c r="M73" i="185" s="1"/>
  <c r="O73" i="185" s="1"/>
  <c r="G133" i="185"/>
  <c r="M68" i="185" s="1"/>
  <c r="AM132" i="184"/>
  <c r="AS122" i="184"/>
  <c r="AK133" i="184" s="1"/>
  <c r="AK137" i="183"/>
  <c r="O133" i="183" s="1"/>
  <c r="AK136" i="183"/>
  <c r="AE132" i="185" l="1"/>
  <c r="AE133" i="185" s="1"/>
  <c r="M60" i="185"/>
  <c r="O60" i="185" s="1"/>
  <c r="O67" i="185"/>
  <c r="O68" i="185"/>
  <c r="M70" i="185"/>
  <c r="M69" i="185"/>
  <c r="AS121" i="185"/>
  <c r="M75" i="185"/>
  <c r="O75" i="185" s="1"/>
  <c r="M53" i="185"/>
  <c r="O53" i="185" s="1"/>
  <c r="O80" i="185"/>
  <c r="M78" i="185"/>
  <c r="M66" i="185"/>
  <c r="P85" i="184"/>
  <c r="O85" i="184"/>
  <c r="O83" i="184"/>
  <c r="Q85" i="184"/>
  <c r="Q83" i="184"/>
  <c r="P83" i="184"/>
  <c r="AT110" i="183"/>
  <c r="AT109" i="183"/>
  <c r="AT116" i="183"/>
  <c r="AT118" i="183"/>
  <c r="AT117" i="183"/>
  <c r="AT114" i="183"/>
  <c r="AT113" i="183"/>
  <c r="AT112" i="183"/>
  <c r="AS117" i="183"/>
  <c r="M72" i="183" s="1"/>
  <c r="O72" i="183" s="1"/>
  <c r="AS118" i="183"/>
  <c r="M59" i="183" s="1"/>
  <c r="O59" i="183" s="1"/>
  <c r="AS116" i="183"/>
  <c r="M71" i="183" s="1"/>
  <c r="O71" i="183" s="1"/>
  <c r="AS112" i="183"/>
  <c r="M56" i="183" s="1"/>
  <c r="O56" i="183" s="1"/>
  <c r="AS115" i="183"/>
  <c r="M76" i="183" s="1"/>
  <c r="O76" i="183" s="1"/>
  <c r="AS113" i="183"/>
  <c r="M57" i="183" s="1"/>
  <c r="O57" i="183" s="1"/>
  <c r="AS109" i="183"/>
  <c r="AS114" i="183"/>
  <c r="M58" i="183" s="1"/>
  <c r="O58" i="183" s="1"/>
  <c r="AS110" i="183"/>
  <c r="M54" i="183" s="1"/>
  <c r="O54" i="183" s="1"/>
  <c r="AS111" i="183"/>
  <c r="M55" i="183" s="1"/>
  <c r="O55" i="183" s="1"/>
  <c r="AT115" i="183"/>
  <c r="M80" i="183" s="1"/>
  <c r="AT111" i="183"/>
  <c r="M67" i="183" s="1"/>
  <c r="F133" i="183"/>
  <c r="H133" i="183"/>
  <c r="E133" i="183"/>
  <c r="M133" i="183"/>
  <c r="K133" i="183"/>
  <c r="L133" i="183"/>
  <c r="J133" i="183"/>
  <c r="I133" i="183"/>
  <c r="J132" i="183"/>
  <c r="M65" i="183" s="1"/>
  <c r="O65" i="183" s="1"/>
  <c r="I132" i="183"/>
  <c r="M64" i="183" s="1"/>
  <c r="O64" i="183" s="1"/>
  <c r="K132" i="183"/>
  <c r="M77" i="183" s="1"/>
  <c r="O77" i="183" s="1"/>
  <c r="AC132" i="183"/>
  <c r="AB132" i="183"/>
  <c r="Z132" i="183"/>
  <c r="M79" i="183" s="1"/>
  <c r="O79" i="183" s="1"/>
  <c r="AA132" i="183"/>
  <c r="H132" i="183"/>
  <c r="M63" i="183" s="1"/>
  <c r="O63" i="183" s="1"/>
  <c r="V133" i="183"/>
  <c r="R133" i="183"/>
  <c r="Z133" i="183"/>
  <c r="Q132" i="183"/>
  <c r="E132" i="183"/>
  <c r="N132" i="183"/>
  <c r="T132" i="183"/>
  <c r="U132" i="183"/>
  <c r="N133" i="183"/>
  <c r="Y132" i="183"/>
  <c r="W132" i="183"/>
  <c r="AA133" i="183"/>
  <c r="P133" i="183"/>
  <c r="Q133" i="183"/>
  <c r="T133" i="183"/>
  <c r="X133" i="183"/>
  <c r="V132" i="183"/>
  <c r="S132" i="183"/>
  <c r="X132" i="183"/>
  <c r="S133" i="183"/>
  <c r="W133" i="183"/>
  <c r="R132" i="183"/>
  <c r="U133" i="183"/>
  <c r="Y133" i="183"/>
  <c r="AB133" i="183"/>
  <c r="AC133" i="183"/>
  <c r="O132" i="183"/>
  <c r="M132" i="183"/>
  <c r="M74" i="183" s="1"/>
  <c r="O74" i="183" s="1"/>
  <c r="P132" i="183"/>
  <c r="F132" i="183"/>
  <c r="M61" i="183" s="1"/>
  <c r="O61" i="183" s="1"/>
  <c r="G132" i="183"/>
  <c r="M62" i="183" s="1"/>
  <c r="O62" i="183" s="1"/>
  <c r="G133" i="183"/>
  <c r="M68" i="183" s="1"/>
  <c r="L132" i="183"/>
  <c r="M73" i="183" s="1"/>
  <c r="O73" i="183" s="1"/>
  <c r="AS122" i="185" l="1"/>
  <c r="AK133" i="185" s="1"/>
  <c r="AM132" i="185"/>
  <c r="O68" i="183"/>
  <c r="M66" i="183"/>
  <c r="O66" i="183" s="1"/>
  <c r="M78" i="183"/>
  <c r="O67" i="183"/>
  <c r="M69" i="183"/>
  <c r="M70" i="183"/>
  <c r="AE132" i="183"/>
  <c r="AE133" i="183" s="1"/>
  <c r="M60" i="183"/>
  <c r="O60" i="183" s="1"/>
  <c r="AS121" i="183"/>
  <c r="M53" i="183"/>
  <c r="O53" i="183" s="1"/>
  <c r="M75" i="183"/>
  <c r="O75" i="183" s="1"/>
  <c r="O80" i="183"/>
  <c r="P83" i="185" l="1"/>
  <c r="P85" i="185"/>
  <c r="Q85" i="185"/>
  <c r="O85" i="185"/>
  <c r="O83" i="185"/>
  <c r="Q83" i="185"/>
  <c r="AS122" i="183"/>
  <c r="AK133" i="183" s="1"/>
  <c r="AM132" i="183"/>
  <c r="O78" i="183"/>
  <c r="O70" i="183"/>
  <c r="O69" i="183"/>
  <c r="O84" i="183" l="1"/>
  <c r="O91" i="183"/>
  <c r="O87" i="183"/>
  <c r="O86" i="183"/>
  <c r="Q85" i="183"/>
  <c r="O83" i="183"/>
  <c r="P85" i="183"/>
  <c r="O85" i="183"/>
  <c r="Q83" i="183"/>
  <c r="P83" i="183"/>
  <c r="O90" i="183" l="1"/>
  <c r="P79" i="183" s="1"/>
  <c r="O88" i="183"/>
  <c r="O89" i="183" s="1"/>
  <c r="P71" i="183" l="1"/>
  <c r="P54" i="183"/>
  <c r="P59" i="183"/>
  <c r="P74" i="183"/>
  <c r="P73" i="183"/>
  <c r="P58" i="183"/>
  <c r="P72" i="183"/>
  <c r="P57" i="183"/>
  <c r="P65" i="183"/>
  <c r="P63" i="183"/>
  <c r="P76" i="183"/>
  <c r="P56" i="183"/>
  <c r="P62" i="183"/>
  <c r="P68" i="183" s="1"/>
  <c r="P77" i="183"/>
  <c r="P55" i="183"/>
  <c r="P67" i="183" s="1"/>
  <c r="P61" i="183"/>
  <c r="P64" i="183"/>
  <c r="P66" i="183"/>
  <c r="P69" i="183" s="1"/>
  <c r="P75" i="183"/>
  <c r="P53" i="183"/>
  <c r="P60" i="183"/>
  <c r="P80" i="183" l="1"/>
  <c r="P78" i="183"/>
  <c r="P70" i="183"/>
  <c r="P87" i="183" l="1"/>
  <c r="P88" i="183" s="1"/>
  <c r="P91" i="183"/>
  <c r="P93" i="183" s="1"/>
  <c r="P84" i="183"/>
  <c r="P86" i="183"/>
  <c r="P90" i="183" l="1"/>
  <c r="Q79" i="183" s="1"/>
  <c r="P94" i="183"/>
  <c r="P89" i="183"/>
  <c r="Q76" i="183" l="1"/>
  <c r="Q80" i="183" s="1"/>
  <c r="Q55" i="183"/>
  <c r="Q67" i="183" s="1"/>
  <c r="Q60" i="183"/>
  <c r="Q53" i="183"/>
  <c r="Q58" i="183"/>
  <c r="Q75" i="183"/>
  <c r="Q73" i="183"/>
  <c r="Q61" i="183"/>
  <c r="Q63" i="183"/>
  <c r="Q59" i="183"/>
  <c r="Q77" i="183"/>
  <c r="Q54" i="183"/>
  <c r="Q65" i="183"/>
  <c r="Q62" i="183"/>
  <c r="Q68" i="183" s="1"/>
  <c r="Q71" i="183"/>
  <c r="Q66" i="183"/>
  <c r="Q72" i="183"/>
  <c r="Q57" i="183"/>
  <c r="Q64" i="183"/>
  <c r="Q74" i="183"/>
  <c r="Q56" i="183"/>
  <c r="Q78" i="183" l="1"/>
  <c r="Q69" i="183"/>
  <c r="Q70" i="183"/>
  <c r="Q84" i="183" l="1"/>
  <c r="Q87" i="183"/>
  <c r="Q88" i="183" s="1"/>
  <c r="Q91" i="183"/>
  <c r="Q93" i="183" s="1"/>
  <c r="Q86" i="183"/>
  <c r="Q90" i="183" l="1"/>
  <c r="R79" i="183" s="1"/>
  <c r="Q94" i="183"/>
  <c r="Q89" i="183"/>
  <c r="R59" i="183" l="1"/>
  <c r="J59" i="183" s="1"/>
  <c r="R71" i="183"/>
  <c r="J71" i="183" s="1"/>
  <c r="R73" i="183"/>
  <c r="J73" i="183" s="1"/>
  <c r="R62" i="183"/>
  <c r="J62" i="183" s="1"/>
  <c r="R55" i="183"/>
  <c r="J55" i="183" s="1"/>
  <c r="R57" i="183"/>
  <c r="J57" i="183" s="1"/>
  <c r="R77" i="183"/>
  <c r="J77" i="183" s="1"/>
  <c r="R74" i="183"/>
  <c r="J74" i="183" s="1"/>
  <c r="R61" i="183"/>
  <c r="J61" i="183" s="1"/>
  <c r="R60" i="183"/>
  <c r="J60" i="183" s="1"/>
  <c r="R54" i="183"/>
  <c r="J54" i="183" s="1"/>
  <c r="R75" i="183"/>
  <c r="J75" i="183" s="1"/>
  <c r="R72" i="183"/>
  <c r="J72" i="183" s="1"/>
  <c r="R56" i="183"/>
  <c r="J56" i="183" s="1"/>
  <c r="R63" i="183"/>
  <c r="J63" i="183" s="1"/>
  <c r="R64" i="183"/>
  <c r="J64" i="183" s="1"/>
  <c r="R58" i="183"/>
  <c r="J58" i="183" s="1"/>
  <c r="R65" i="183"/>
  <c r="J65" i="183" s="1"/>
  <c r="R76" i="183"/>
  <c r="R80" i="183" s="1"/>
  <c r="J80" i="183" s="1"/>
  <c r="R53" i="183"/>
  <c r="J53" i="183" s="1"/>
  <c r="R66" i="183"/>
  <c r="J66" i="183" s="1"/>
  <c r="O38" i="182"/>
  <c r="J79" i="183"/>
  <c r="O146" i="182"/>
  <c r="O133" i="182"/>
  <c r="AI8" i="182" l="1"/>
  <c r="AI36" i="182"/>
  <c r="I61" i="184"/>
  <c r="O15" i="184" s="1"/>
  <c r="I74" i="184"/>
  <c r="O28" i="184" s="1"/>
  <c r="I80" i="184"/>
  <c r="O42" i="184" s="1"/>
  <c r="I77" i="184"/>
  <c r="O39" i="184" s="1"/>
  <c r="I62" i="184"/>
  <c r="O16" i="184" s="1"/>
  <c r="I79" i="184"/>
  <c r="O41" i="184" s="1"/>
  <c r="I66" i="184"/>
  <c r="O20" i="184" s="1"/>
  <c r="L56" i="183"/>
  <c r="I63" i="184"/>
  <c r="O17" i="184" s="1"/>
  <c r="I73" i="184"/>
  <c r="O27" i="184" s="1"/>
  <c r="I65" i="184"/>
  <c r="O19" i="184" s="1"/>
  <c r="I60" i="184"/>
  <c r="O14" i="184" s="1"/>
  <c r="I54" i="184"/>
  <c r="O8" i="184" s="1"/>
  <c r="L57" i="183"/>
  <c r="I55" i="184"/>
  <c r="O9" i="184" s="1"/>
  <c r="L58" i="183"/>
  <c r="I53" i="184"/>
  <c r="O7" i="184" s="1"/>
  <c r="N11" i="183"/>
  <c r="U11" i="183" s="1"/>
  <c r="I57" i="184"/>
  <c r="O11" i="184" s="1"/>
  <c r="N12" i="183"/>
  <c r="P12" i="183" s="1"/>
  <c r="I58" i="184"/>
  <c r="O12" i="184" s="1"/>
  <c r="N18" i="183"/>
  <c r="U18" i="183" s="1"/>
  <c r="I64" i="184"/>
  <c r="O18" i="184" s="1"/>
  <c r="N37" i="183"/>
  <c r="U37" i="183" s="1"/>
  <c r="I75" i="184"/>
  <c r="O37" i="184" s="1"/>
  <c r="N26" i="183"/>
  <c r="U26" i="183" s="1"/>
  <c r="I72" i="184"/>
  <c r="O26" i="184" s="1"/>
  <c r="N13" i="183"/>
  <c r="U13" i="183" s="1"/>
  <c r="I59" i="184"/>
  <c r="O13" i="184" s="1"/>
  <c r="N10" i="183"/>
  <c r="R10" i="183" s="1"/>
  <c r="I56" i="184"/>
  <c r="O10" i="184" s="1"/>
  <c r="N25" i="183"/>
  <c r="U25" i="183" s="1"/>
  <c r="I71" i="184"/>
  <c r="O25" i="184" s="1"/>
  <c r="K146" i="182"/>
  <c r="K133" i="182"/>
  <c r="AP146" i="183"/>
  <c r="AO146" i="183" s="1"/>
  <c r="N14" i="183"/>
  <c r="U14" i="183" s="1"/>
  <c r="N28" i="183"/>
  <c r="R28" i="183" s="1"/>
  <c r="N39" i="183"/>
  <c r="U39" i="183" s="1"/>
  <c r="N19" i="183"/>
  <c r="P19" i="183" s="1"/>
  <c r="N9" i="183"/>
  <c r="U9" i="183" s="1"/>
  <c r="G160" i="183"/>
  <c r="L64" i="183"/>
  <c r="J97" i="183"/>
  <c r="AB160" i="183" s="1"/>
  <c r="J81" i="183"/>
  <c r="J84" i="183" s="1"/>
  <c r="P160" i="183" s="1"/>
  <c r="N42" i="183"/>
  <c r="P42" i="183" s="1"/>
  <c r="AP148" i="183"/>
  <c r="AO148" i="183" s="1"/>
  <c r="AP152" i="183"/>
  <c r="AO152" i="183" s="1"/>
  <c r="N27" i="183"/>
  <c r="L160" i="183"/>
  <c r="J98" i="183"/>
  <c r="AC160" i="183" s="1"/>
  <c r="N41" i="183"/>
  <c r="R41" i="183" s="1"/>
  <c r="AQ151" i="183"/>
  <c r="AP149" i="183"/>
  <c r="AO149" i="183" s="1"/>
  <c r="H160" i="183"/>
  <c r="K160" i="183"/>
  <c r="N17" i="183"/>
  <c r="U17" i="183" s="1"/>
  <c r="J76" i="183"/>
  <c r="J96" i="183"/>
  <c r="AA160" i="183" s="1"/>
  <c r="R67" i="183"/>
  <c r="J67" i="183" s="1"/>
  <c r="N7" i="183"/>
  <c r="P7" i="183" s="1"/>
  <c r="AP147" i="183"/>
  <c r="R68" i="183"/>
  <c r="J68" i="183" s="1"/>
  <c r="N8" i="183"/>
  <c r="U8" i="183" s="1"/>
  <c r="N16" i="183"/>
  <c r="U16" i="183" s="1"/>
  <c r="J95" i="183"/>
  <c r="Z160" i="183" s="1"/>
  <c r="AP145" i="183"/>
  <c r="AO145" i="183" s="1"/>
  <c r="M160" i="183"/>
  <c r="R78" i="183"/>
  <c r="J78" i="183" s="1"/>
  <c r="R69" i="183"/>
  <c r="J69" i="183" s="1"/>
  <c r="AP153" i="183"/>
  <c r="AO153" i="183" s="1"/>
  <c r="R70" i="183"/>
  <c r="J70" i="183" s="1"/>
  <c r="N20" i="183"/>
  <c r="R20" i="183" s="1"/>
  <c r="AP150" i="183"/>
  <c r="AO150" i="183" s="1"/>
  <c r="I160" i="183"/>
  <c r="AP154" i="183"/>
  <c r="AO154" i="183" s="1"/>
  <c r="J160" i="183"/>
  <c r="E160" i="183"/>
  <c r="N15" i="183"/>
  <c r="F160" i="183"/>
  <c r="O140" i="182"/>
  <c r="O136" i="182"/>
  <c r="O148" i="182"/>
  <c r="O149" i="182"/>
  <c r="O137" i="182"/>
  <c r="O135" i="182"/>
  <c r="O143" i="182"/>
  <c r="O144" i="182"/>
  <c r="O142" i="182"/>
  <c r="O147" i="182"/>
  <c r="O134" i="182"/>
  <c r="O139" i="182"/>
  <c r="O145" i="182"/>
  <c r="O138" i="182"/>
  <c r="O150" i="182"/>
  <c r="O141" i="182"/>
  <c r="AI40" i="182" l="1"/>
  <c r="AI31" i="182"/>
  <c r="AI32" i="182"/>
  <c r="AI15" i="182"/>
  <c r="AI33" i="182"/>
  <c r="AI34" i="182"/>
  <c r="AI13" i="182"/>
  <c r="AI14" i="182"/>
  <c r="AI11" i="182"/>
  <c r="AI9" i="182"/>
  <c r="AI10" i="182"/>
  <c r="AI12" i="182"/>
  <c r="AI38" i="182"/>
  <c r="AI37" i="182"/>
  <c r="AI35" i="182"/>
  <c r="AI39" i="182"/>
  <c r="K143" i="182"/>
  <c r="K144" i="182"/>
  <c r="K134" i="182"/>
  <c r="K149" i="182"/>
  <c r="K142" i="182"/>
  <c r="K137" i="182"/>
  <c r="K139" i="182"/>
  <c r="K136" i="182"/>
  <c r="K135" i="182"/>
  <c r="K150" i="182"/>
  <c r="K145" i="182"/>
  <c r="K148" i="182"/>
  <c r="O66" i="184"/>
  <c r="O69" i="184" s="1"/>
  <c r="K66" i="184"/>
  <c r="R12" i="183"/>
  <c r="I68" i="184"/>
  <c r="O22" i="184" s="1"/>
  <c r="I67" i="184"/>
  <c r="O21" i="184" s="1"/>
  <c r="I69" i="184"/>
  <c r="O23" i="184" s="1"/>
  <c r="I76" i="184"/>
  <c r="O38" i="184" s="1"/>
  <c r="O79" i="184"/>
  <c r="K79" i="184"/>
  <c r="R25" i="183"/>
  <c r="V25" i="183" s="1"/>
  <c r="P13" i="183"/>
  <c r="P11" i="183"/>
  <c r="R13" i="183"/>
  <c r="V13" i="183" s="1"/>
  <c r="R18" i="183"/>
  <c r="V18" i="183" s="1"/>
  <c r="P18" i="183"/>
  <c r="R39" i="183"/>
  <c r="V39" i="183" s="1"/>
  <c r="U28" i="183"/>
  <c r="V28" i="183" s="1"/>
  <c r="U10" i="183"/>
  <c r="V10" i="183" s="1"/>
  <c r="P10" i="183"/>
  <c r="U12" i="183"/>
  <c r="R11" i="183"/>
  <c r="V11" i="183" s="1"/>
  <c r="R37" i="183"/>
  <c r="V37" i="183" s="1"/>
  <c r="P37" i="183"/>
  <c r="N40" i="183"/>
  <c r="U40" i="183" s="1"/>
  <c r="I78" i="184"/>
  <c r="R26" i="183"/>
  <c r="V26" i="183" s="1"/>
  <c r="N24" i="183"/>
  <c r="R24" i="183" s="1"/>
  <c r="I70" i="184"/>
  <c r="P14" i="183"/>
  <c r="P39" i="183"/>
  <c r="P28" i="183"/>
  <c r="R14" i="183"/>
  <c r="V14" i="183" s="1"/>
  <c r="P9" i="183"/>
  <c r="K138" i="182"/>
  <c r="K141" i="182"/>
  <c r="K147" i="182"/>
  <c r="K140" i="182"/>
  <c r="U19" i="183"/>
  <c r="R19" i="183"/>
  <c r="U42" i="183"/>
  <c r="J90" i="183"/>
  <c r="U160" i="183" s="1"/>
  <c r="R9" i="183"/>
  <c r="V9" i="183" s="1"/>
  <c r="R42" i="183"/>
  <c r="J91" i="183"/>
  <c r="V160" i="183" s="1"/>
  <c r="N160" i="183"/>
  <c r="J89" i="183"/>
  <c r="T160" i="183" s="1"/>
  <c r="J88" i="183"/>
  <c r="S160" i="183" s="1"/>
  <c r="J94" i="183"/>
  <c r="Y160" i="183" s="1"/>
  <c r="J92" i="183"/>
  <c r="W160" i="183" s="1"/>
  <c r="J86" i="183"/>
  <c r="R160" i="183" s="1"/>
  <c r="J93" i="183"/>
  <c r="X160" i="183" s="1"/>
  <c r="J83" i="183"/>
  <c r="O160" i="183" s="1"/>
  <c r="N21" i="183"/>
  <c r="R21" i="183" s="1"/>
  <c r="J82" i="183"/>
  <c r="J87" i="183" s="1"/>
  <c r="R161" i="183" s="1"/>
  <c r="J85" i="183"/>
  <c r="Q160" i="183" s="1"/>
  <c r="N22" i="183"/>
  <c r="U22" i="183" s="1"/>
  <c r="AQ147" i="183"/>
  <c r="AO147" i="183" s="1"/>
  <c r="P41" i="183"/>
  <c r="U41" i="183"/>
  <c r="V41" i="183" s="1"/>
  <c r="U27" i="183"/>
  <c r="P27" i="183"/>
  <c r="R27" i="183"/>
  <c r="G161" i="183"/>
  <c r="P8" i="183"/>
  <c r="R16" i="183"/>
  <c r="V16" i="183" s="1"/>
  <c r="R8" i="183"/>
  <c r="V8" i="183" s="1"/>
  <c r="R17" i="183"/>
  <c r="V17" i="183" s="1"/>
  <c r="P17" i="183"/>
  <c r="N38" i="183"/>
  <c r="P38" i="183" s="1"/>
  <c r="AP151" i="183"/>
  <c r="AO151" i="183" s="1"/>
  <c r="U7" i="183"/>
  <c r="R7" i="183"/>
  <c r="P16" i="183"/>
  <c r="T94" i="183"/>
  <c r="C21" i="183" s="1"/>
  <c r="P20" i="183"/>
  <c r="R91" i="183"/>
  <c r="R93" i="183" s="1"/>
  <c r="U20" i="183"/>
  <c r="V20" i="183" s="1"/>
  <c r="N23" i="183"/>
  <c r="P23" i="183" s="1"/>
  <c r="P15" i="183"/>
  <c r="R15" i="183"/>
  <c r="U15" i="183"/>
  <c r="O78" i="184" l="1"/>
  <c r="O70" i="184"/>
  <c r="V12" i="183"/>
  <c r="K69" i="184"/>
  <c r="P40" i="183"/>
  <c r="R40" i="183"/>
  <c r="V40" i="183" s="1"/>
  <c r="U24" i="183"/>
  <c r="V24" i="183" s="1"/>
  <c r="P24" i="183"/>
  <c r="O24" i="184"/>
  <c r="K70" i="184"/>
  <c r="O40" i="184"/>
  <c r="K78" i="184"/>
  <c r="V19" i="183"/>
  <c r="V42" i="183"/>
  <c r="U21" i="183"/>
  <c r="V21" i="183" s="1"/>
  <c r="P21" i="183"/>
  <c r="N161" i="183"/>
  <c r="E167" i="183" s="1"/>
  <c r="P22" i="183"/>
  <c r="R22" i="183"/>
  <c r="V22" i="183" s="1"/>
  <c r="V27" i="183"/>
  <c r="R38" i="183"/>
  <c r="U38" i="183"/>
  <c r="E164" i="183"/>
  <c r="H164" i="183" s="1"/>
  <c r="E165" i="183"/>
  <c r="H165" i="183" s="1"/>
  <c r="V7" i="183"/>
  <c r="R94" i="183"/>
  <c r="U23" i="183"/>
  <c r="R23" i="183"/>
  <c r="V15" i="183"/>
  <c r="O86" i="184" l="1"/>
  <c r="O87" i="184"/>
  <c r="O91" i="184"/>
  <c r="O84" i="184"/>
  <c r="U29" i="183"/>
  <c r="AF24" i="183" s="1"/>
  <c r="R43" i="183"/>
  <c r="X43" i="183" s="1"/>
  <c r="Z42" i="183" s="1"/>
  <c r="E166" i="183"/>
  <c r="H166" i="183" s="1"/>
  <c r="R29" i="183"/>
  <c r="R31" i="183" s="1"/>
  <c r="C20" i="183" s="1"/>
  <c r="V38" i="183"/>
  <c r="V43" i="183" s="1"/>
  <c r="U43" i="183"/>
  <c r="F164" i="183"/>
  <c r="F165" i="183" s="1"/>
  <c r="V23" i="183"/>
  <c r="V29" i="183" s="1"/>
  <c r="H167" i="183"/>
  <c r="E169" i="183"/>
  <c r="O90" i="184" l="1"/>
  <c r="P71" i="184" s="1"/>
  <c r="O88" i="184"/>
  <c r="O89" i="184" s="1"/>
  <c r="AA31" i="183"/>
  <c r="R45" i="183"/>
  <c r="U44" i="183" s="1"/>
  <c r="R44" i="183"/>
  <c r="Y43" i="183" s="1"/>
  <c r="AA42" i="183" s="1"/>
  <c r="AF22" i="183"/>
  <c r="Z40" i="183"/>
  <c r="Z39" i="183"/>
  <c r="Z41" i="183"/>
  <c r="Z37" i="183"/>
  <c r="Z38" i="183"/>
  <c r="X29" i="183"/>
  <c r="Z13" i="183" s="1"/>
  <c r="R30" i="183"/>
  <c r="Y14" i="183" s="1"/>
  <c r="G40" i="183"/>
  <c r="AF21" i="183"/>
  <c r="E168" i="183"/>
  <c r="K172" i="183" s="1"/>
  <c r="C23" i="183" s="1"/>
  <c r="F166" i="183"/>
  <c r="F167" i="183" s="1"/>
  <c r="C19" i="183"/>
  <c r="W43" i="183"/>
  <c r="AH15" i="183"/>
  <c r="AA45" i="183"/>
  <c r="U30" i="183"/>
  <c r="K173" i="183"/>
  <c r="H169" i="183"/>
  <c r="L19" i="186" l="1"/>
  <c r="K19" i="186"/>
  <c r="P66" i="184"/>
  <c r="P69" i="184" s="1"/>
  <c r="P58" i="184"/>
  <c r="P62" i="184"/>
  <c r="P68" i="184" s="1"/>
  <c r="P65" i="184"/>
  <c r="P72" i="184"/>
  <c r="P56" i="184"/>
  <c r="P77" i="184"/>
  <c r="P73" i="184"/>
  <c r="P79" i="184"/>
  <c r="P74" i="184"/>
  <c r="P75" i="184"/>
  <c r="P53" i="184"/>
  <c r="P76" i="184"/>
  <c r="P80" i="184" s="1"/>
  <c r="P60" i="184"/>
  <c r="P64" i="184"/>
  <c r="P61" i="184"/>
  <c r="P55" i="184"/>
  <c r="P67" i="184" s="1"/>
  <c r="P63" i="184"/>
  <c r="P54" i="184"/>
  <c r="P57" i="184"/>
  <c r="P59" i="184"/>
  <c r="AA37" i="183"/>
  <c r="AA38" i="183"/>
  <c r="AA41" i="183"/>
  <c r="AA39" i="183"/>
  <c r="O40" i="182"/>
  <c r="Q33" i="182"/>
  <c r="H168" i="183"/>
  <c r="AA40" i="183"/>
  <c r="Z20" i="183"/>
  <c r="Z22" i="183"/>
  <c r="Z26" i="183"/>
  <c r="Z28" i="183"/>
  <c r="Y11" i="183"/>
  <c r="Y7" i="183"/>
  <c r="Z8" i="183"/>
  <c r="P33" i="182"/>
  <c r="Y10" i="183"/>
  <c r="Y13" i="183"/>
  <c r="Z19" i="183"/>
  <c r="Z21" i="183"/>
  <c r="Y27" i="183"/>
  <c r="Z12" i="183"/>
  <c r="Z25" i="183"/>
  <c r="Y17" i="183"/>
  <c r="Z17" i="183"/>
  <c r="Y12" i="183"/>
  <c r="Z11" i="183"/>
  <c r="Z24" i="183"/>
  <c r="Z18" i="183"/>
  <c r="F168" i="183"/>
  <c r="F169" i="183" s="1"/>
  <c r="Z14" i="183"/>
  <c r="Z7" i="183"/>
  <c r="Y21" i="183"/>
  <c r="Y22" i="183"/>
  <c r="Z15" i="183"/>
  <c r="Y25" i="183"/>
  <c r="E170" i="183"/>
  <c r="Y26" i="183"/>
  <c r="Y29" i="183"/>
  <c r="AA13" i="183" s="1"/>
  <c r="Z10" i="183"/>
  <c r="Y16" i="183"/>
  <c r="AF17" i="183"/>
  <c r="Z9" i="183"/>
  <c r="O33" i="182"/>
  <c r="Y9" i="183"/>
  <c r="C1" i="183"/>
  <c r="Z27" i="183"/>
  <c r="Z23" i="183"/>
  <c r="Y20" i="183"/>
  <c r="Y23" i="183"/>
  <c r="Y24" i="183"/>
  <c r="Z16" i="183"/>
  <c r="Y18" i="183"/>
  <c r="Y28" i="183"/>
  <c r="Y19" i="183"/>
  <c r="Y15" i="183"/>
  <c r="Y8" i="183"/>
  <c r="C24" i="183"/>
  <c r="K174" i="183"/>
  <c r="P78" i="184" l="1"/>
  <c r="P70" i="184"/>
  <c r="AA27" i="183"/>
  <c r="AA16" i="183"/>
  <c r="AA17" i="183"/>
  <c r="AA8" i="183"/>
  <c r="AA9" i="183"/>
  <c r="AA14" i="183"/>
  <c r="AA24" i="183"/>
  <c r="AA23" i="183"/>
  <c r="AA28" i="183"/>
  <c r="AA10" i="183"/>
  <c r="AA21" i="183"/>
  <c r="AA19" i="183"/>
  <c r="AA20" i="183"/>
  <c r="AA22" i="183"/>
  <c r="AA15" i="183"/>
  <c r="AA26" i="183"/>
  <c r="AA18" i="183"/>
  <c r="AA7" i="183"/>
  <c r="AA12" i="183"/>
  <c r="AA25" i="183"/>
  <c r="AA11" i="183"/>
  <c r="O41" i="182"/>
  <c r="C22" i="183"/>
  <c r="J175" i="183"/>
  <c r="P91" i="184" l="1"/>
  <c r="P93" i="184" s="1"/>
  <c r="P86" i="184"/>
  <c r="P87" i="184"/>
  <c r="P84" i="184"/>
  <c r="AA29" i="183"/>
  <c r="AA30" i="183" s="1"/>
  <c r="AF25" i="183" s="1"/>
  <c r="O39" i="182"/>
  <c r="P94" i="184" l="1"/>
  <c r="P90" i="184"/>
  <c r="Q77" i="184" s="1"/>
  <c r="P88" i="184"/>
  <c r="P89" i="184" s="1"/>
  <c r="AF19" i="183"/>
  <c r="V31" i="183"/>
  <c r="AF26" i="183" s="1"/>
  <c r="AA43" i="183"/>
  <c r="U45" i="183" s="1"/>
  <c r="AA32" i="183"/>
  <c r="AA46" i="183" s="1"/>
  <c r="U31" i="183"/>
  <c r="Q73" i="184" l="1"/>
  <c r="Q56" i="184"/>
  <c r="Q76" i="184"/>
  <c r="Q80" i="184" s="1"/>
  <c r="Q75" i="184"/>
  <c r="Q60" i="184"/>
  <c r="Q59" i="184"/>
  <c r="Q61" i="184"/>
  <c r="Q55" i="184"/>
  <c r="Q67" i="184" s="1"/>
  <c r="Q72" i="184"/>
  <c r="Q53" i="184"/>
  <c r="Q62" i="184"/>
  <c r="Q68" i="184" s="1"/>
  <c r="Q66" i="184"/>
  <c r="Q78" i="184" s="1"/>
  <c r="Q79" i="184"/>
  <c r="Q74" i="184"/>
  <c r="Q71" i="184"/>
  <c r="Q58" i="184"/>
  <c r="Q63" i="184"/>
  <c r="Q57" i="184"/>
  <c r="Q65" i="184"/>
  <c r="Q64" i="184"/>
  <c r="Q54" i="184"/>
  <c r="AA44" i="183"/>
  <c r="AH16" i="183" s="1"/>
  <c r="AF18" i="183"/>
  <c r="Q69" i="184" l="1"/>
  <c r="Q70" i="184"/>
  <c r="V45" i="183"/>
  <c r="AH17" i="183" s="1"/>
  <c r="Q87" i="184" l="1"/>
  <c r="Q88" i="184" s="1"/>
  <c r="Q84" i="184"/>
  <c r="Q91" i="184"/>
  <c r="Q93" i="184" s="1"/>
  <c r="Q86" i="184"/>
  <c r="W45" i="183"/>
  <c r="W46" i="183" s="1"/>
  <c r="Q90" i="184" l="1"/>
  <c r="R79" i="184" s="1"/>
  <c r="J79" i="184" s="1"/>
  <c r="Q94" i="184"/>
  <c r="Q89" i="184"/>
  <c r="P148" i="182"/>
  <c r="P38" i="182" l="1"/>
  <c r="K24" i="186"/>
  <c r="I79" i="185"/>
  <c r="O41" i="185" s="1"/>
  <c r="R62" i="184"/>
  <c r="R68" i="184" s="1"/>
  <c r="J68" i="184" s="1"/>
  <c r="R74" i="184"/>
  <c r="J74" i="184" s="1"/>
  <c r="M160" i="184" s="1"/>
  <c r="R71" i="184"/>
  <c r="J71" i="184" s="1"/>
  <c r="I71" i="185" s="1"/>
  <c r="O25" i="185" s="1"/>
  <c r="R54" i="184"/>
  <c r="J54" i="184" s="1"/>
  <c r="R57" i="184"/>
  <c r="J57" i="184" s="1"/>
  <c r="I57" i="185" s="1"/>
  <c r="O11" i="185" s="1"/>
  <c r="R56" i="184"/>
  <c r="J56" i="184" s="1"/>
  <c r="I56" i="185" s="1"/>
  <c r="O10" i="185" s="1"/>
  <c r="AJ38" i="182"/>
  <c r="AK38" i="182" s="1"/>
  <c r="R77" i="184"/>
  <c r="J77" i="184" s="1"/>
  <c r="R63" i="184"/>
  <c r="J63" i="184" s="1"/>
  <c r="R59" i="184"/>
  <c r="J59" i="184" s="1"/>
  <c r="I59" i="185" s="1"/>
  <c r="O13" i="185" s="1"/>
  <c r="R72" i="184"/>
  <c r="J72" i="184" s="1"/>
  <c r="I72" i="185" s="1"/>
  <c r="O26" i="185" s="1"/>
  <c r="R58" i="184"/>
  <c r="J58" i="184" s="1"/>
  <c r="I58" i="185" s="1"/>
  <c r="O12" i="185" s="1"/>
  <c r="R66" i="184"/>
  <c r="R70" i="184" s="1"/>
  <c r="J70" i="184" s="1"/>
  <c r="R73" i="184"/>
  <c r="J73" i="184" s="1"/>
  <c r="R64" i="184"/>
  <c r="J64" i="184" s="1"/>
  <c r="I64" i="185" s="1"/>
  <c r="O18" i="185" s="1"/>
  <c r="R75" i="184"/>
  <c r="J75" i="184" s="1"/>
  <c r="I75" i="185" s="1"/>
  <c r="O37" i="185" s="1"/>
  <c r="R53" i="184"/>
  <c r="J53" i="184" s="1"/>
  <c r="R60" i="184"/>
  <c r="J60" i="184" s="1"/>
  <c r="R55" i="184"/>
  <c r="R67" i="184" s="1"/>
  <c r="J67" i="184" s="1"/>
  <c r="R61" i="184"/>
  <c r="J61" i="184" s="1"/>
  <c r="R65" i="184"/>
  <c r="J65" i="184" s="1"/>
  <c r="R76" i="184"/>
  <c r="J76" i="184" s="1"/>
  <c r="L148" i="182"/>
  <c r="J98" i="184"/>
  <c r="AC160" i="184" s="1"/>
  <c r="J97" i="184"/>
  <c r="AB160" i="184" s="1"/>
  <c r="N41" i="184"/>
  <c r="J95" i="184"/>
  <c r="Z160" i="184" s="1"/>
  <c r="J96" i="184"/>
  <c r="AA160" i="184" s="1"/>
  <c r="AP152" i="184"/>
  <c r="AO152" i="184" s="1"/>
  <c r="P143" i="182"/>
  <c r="P149" i="182"/>
  <c r="P133" i="182"/>
  <c r="P134" i="182"/>
  <c r="P145" i="182"/>
  <c r="P135" i="182"/>
  <c r="P136" i="182"/>
  <c r="P144" i="182"/>
  <c r="P150" i="182"/>
  <c r="K79" i="185" l="1"/>
  <c r="O79" i="185"/>
  <c r="N28" i="184"/>
  <c r="U28" i="184" s="1"/>
  <c r="N14" i="184"/>
  <c r="U14" i="184" s="1"/>
  <c r="N8" i="184"/>
  <c r="P8" i="184" s="1"/>
  <c r="N27" i="184"/>
  <c r="P27" i="184" s="1"/>
  <c r="I68" i="185"/>
  <c r="O22" i="185" s="1"/>
  <c r="I76" i="185"/>
  <c r="O38" i="185" s="1"/>
  <c r="I67" i="185"/>
  <c r="O21" i="185" s="1"/>
  <c r="AP146" i="184"/>
  <c r="AO146" i="184" s="1"/>
  <c r="N25" i="184"/>
  <c r="U25" i="184" s="1"/>
  <c r="N19" i="184"/>
  <c r="U19" i="184" s="1"/>
  <c r="N17" i="184"/>
  <c r="P17" i="184" s="1"/>
  <c r="N15" i="184"/>
  <c r="P15" i="184" s="1"/>
  <c r="N39" i="184"/>
  <c r="P39" i="184" s="1"/>
  <c r="L160" i="184"/>
  <c r="AP154" i="184"/>
  <c r="AO154" i="184" s="1"/>
  <c r="J62" i="184"/>
  <c r="N16" i="184" s="1"/>
  <c r="AP148" i="184"/>
  <c r="AO148" i="184" s="1"/>
  <c r="N10" i="184"/>
  <c r="R10" i="184" s="1"/>
  <c r="AP149" i="184"/>
  <c r="AO149" i="184" s="1"/>
  <c r="N11" i="184"/>
  <c r="R11" i="184" s="1"/>
  <c r="L57" i="184"/>
  <c r="H160" i="184"/>
  <c r="L64" i="184"/>
  <c r="K160" i="184"/>
  <c r="L135" i="182"/>
  <c r="AJ10" i="182"/>
  <c r="AK10" i="182" s="1"/>
  <c r="L150" i="182"/>
  <c r="AJ40" i="182"/>
  <c r="AK40" i="182" s="1"/>
  <c r="AP153" i="184"/>
  <c r="AO153" i="184" s="1"/>
  <c r="N13" i="184"/>
  <c r="P13" i="184" s="1"/>
  <c r="I54" i="185"/>
  <c r="O8" i="185" s="1"/>
  <c r="I74" i="185"/>
  <c r="O28" i="185" s="1"/>
  <c r="E160" i="184"/>
  <c r="AP150" i="184"/>
  <c r="AO150" i="184" s="1"/>
  <c r="F160" i="184"/>
  <c r="J66" i="184"/>
  <c r="R78" i="184"/>
  <c r="J78" i="184" s="1"/>
  <c r="I78" i="185" s="1"/>
  <c r="R69" i="184"/>
  <c r="J69" i="184" s="1"/>
  <c r="N12" i="184"/>
  <c r="R12" i="184" s="1"/>
  <c r="AJ8" i="182"/>
  <c r="AK8" i="182" s="1"/>
  <c r="AJ35" i="182"/>
  <c r="AK35" i="182" s="1"/>
  <c r="AJ11" i="182"/>
  <c r="AK11" i="182" s="1"/>
  <c r="AJ9" i="182"/>
  <c r="AK9" i="182" s="1"/>
  <c r="AJ39" i="182"/>
  <c r="AK39" i="182" s="1"/>
  <c r="AJ34" i="182"/>
  <c r="AK34" i="182" s="1"/>
  <c r="AJ33" i="182"/>
  <c r="AK33" i="182" s="1"/>
  <c r="N26" i="184"/>
  <c r="U26" i="184" s="1"/>
  <c r="I160" i="184"/>
  <c r="R80" i="184"/>
  <c r="J80" i="184" s="1"/>
  <c r="J160" i="184"/>
  <c r="L143" i="182"/>
  <c r="I77" i="185"/>
  <c r="O39" i="185" s="1"/>
  <c r="L144" i="182"/>
  <c r="N37" i="184"/>
  <c r="P37" i="184" s="1"/>
  <c r="I63" i="185"/>
  <c r="O17" i="185" s="1"/>
  <c r="L149" i="182"/>
  <c r="I73" i="185"/>
  <c r="O27" i="185" s="1"/>
  <c r="N18" i="184"/>
  <c r="R18" i="184" s="1"/>
  <c r="L145" i="182"/>
  <c r="L136" i="182"/>
  <c r="L134" i="182"/>
  <c r="I65" i="185"/>
  <c r="O19" i="185" s="1"/>
  <c r="J55" i="184"/>
  <c r="I61" i="185"/>
  <c r="O15" i="185" s="1"/>
  <c r="I60" i="185"/>
  <c r="O14" i="185" s="1"/>
  <c r="N24" i="184"/>
  <c r="P24" i="184" s="1"/>
  <c r="I70" i="185"/>
  <c r="L56" i="184"/>
  <c r="I53" i="185"/>
  <c r="L133" i="182"/>
  <c r="N7" i="184"/>
  <c r="AP145" i="184"/>
  <c r="AO145" i="184" s="1"/>
  <c r="P41" i="184"/>
  <c r="U41" i="184"/>
  <c r="R41" i="184"/>
  <c r="N22" i="184"/>
  <c r="G161" i="184"/>
  <c r="N38" i="184"/>
  <c r="AP151" i="184"/>
  <c r="R14" i="184"/>
  <c r="P14" i="184"/>
  <c r="AQ147" i="184"/>
  <c r="N21" i="184"/>
  <c r="P142" i="182"/>
  <c r="P138" i="182"/>
  <c r="P140" i="182"/>
  <c r="P147" i="182"/>
  <c r="P146" i="182"/>
  <c r="P141" i="182"/>
  <c r="P137" i="182"/>
  <c r="P139" i="182"/>
  <c r="U9" i="186" l="1" a="1"/>
  <c r="R8" i="184"/>
  <c r="U8" i="184"/>
  <c r="U27" i="184"/>
  <c r="R27" i="184"/>
  <c r="G160" i="184"/>
  <c r="R28" i="184"/>
  <c r="V28" i="184" s="1"/>
  <c r="P28" i="184"/>
  <c r="R25" i="184"/>
  <c r="V25" i="184" s="1"/>
  <c r="U39" i="184"/>
  <c r="U10" i="184"/>
  <c r="V10" i="184" s="1"/>
  <c r="P10" i="184"/>
  <c r="U11" i="184"/>
  <c r="V11" i="184" s="1"/>
  <c r="P11" i="184"/>
  <c r="P19" i="184"/>
  <c r="R19" i="184"/>
  <c r="V19" i="184" s="1"/>
  <c r="R17" i="184"/>
  <c r="U17" i="184"/>
  <c r="R15" i="184"/>
  <c r="U15" i="184"/>
  <c r="I62" i="185"/>
  <c r="O16" i="185" s="1"/>
  <c r="R39" i="184"/>
  <c r="AP147" i="184"/>
  <c r="AO147" i="184" s="1"/>
  <c r="I80" i="185"/>
  <c r="O42" i="185" s="1"/>
  <c r="I66" i="185"/>
  <c r="K66" i="185" s="1"/>
  <c r="J82" i="184"/>
  <c r="N161" i="184" s="1"/>
  <c r="R13" i="184"/>
  <c r="N40" i="184"/>
  <c r="P40" i="184" s="1"/>
  <c r="N23" i="184"/>
  <c r="U23" i="184" s="1"/>
  <c r="P12" i="184"/>
  <c r="U12" i="184"/>
  <c r="V12" i="184" s="1"/>
  <c r="U13" i="184"/>
  <c r="J81" i="184"/>
  <c r="J93" i="184" s="1"/>
  <c r="X160" i="184" s="1"/>
  <c r="N20" i="184"/>
  <c r="U20" i="184" s="1"/>
  <c r="R37" i="184"/>
  <c r="AJ37" i="182"/>
  <c r="AK37" i="182" s="1"/>
  <c r="L147" i="182"/>
  <c r="I69" i="185"/>
  <c r="P18" i="184"/>
  <c r="R91" i="184"/>
  <c r="R94" i="184" s="1"/>
  <c r="AQ151" i="184"/>
  <c r="AO151" i="184" s="1"/>
  <c r="AJ12" i="182"/>
  <c r="AK12" i="182" s="1"/>
  <c r="AJ31" i="182"/>
  <c r="AK31" i="182" s="1"/>
  <c r="AJ14" i="182"/>
  <c r="AK14" i="182" s="1"/>
  <c r="AJ36" i="182"/>
  <c r="AK36" i="182" s="1"/>
  <c r="AJ15" i="182"/>
  <c r="AK15" i="182" s="1"/>
  <c r="AJ32" i="182"/>
  <c r="AK32" i="182" s="1"/>
  <c r="AJ13" i="182"/>
  <c r="AK13" i="182" s="1"/>
  <c r="N42" i="184"/>
  <c r="R42" i="184" s="1"/>
  <c r="R26" i="184"/>
  <c r="V26" i="184" s="1"/>
  <c r="T94" i="184"/>
  <c r="C21" i="184" s="1"/>
  <c r="R24" i="184"/>
  <c r="U37" i="184"/>
  <c r="U24" i="184"/>
  <c r="U18" i="184"/>
  <c r="V18" i="184" s="1"/>
  <c r="N9" i="184"/>
  <c r="R9" i="184" s="1"/>
  <c r="I55" i="185"/>
  <c r="O9" i="185" s="1"/>
  <c r="L58" i="184"/>
  <c r="L146" i="182"/>
  <c r="L137" i="182"/>
  <c r="L141" i="182"/>
  <c r="L142" i="182"/>
  <c r="L138" i="182"/>
  <c r="L140" i="182"/>
  <c r="L139" i="182"/>
  <c r="O7" i="185"/>
  <c r="O40" i="185"/>
  <c r="K78" i="185"/>
  <c r="K70" i="185"/>
  <c r="O24" i="185"/>
  <c r="V41" i="184"/>
  <c r="V14" i="184"/>
  <c r="U7" i="184"/>
  <c r="R7" i="184"/>
  <c r="P7" i="184"/>
  <c r="P22" i="184"/>
  <c r="U22" i="184"/>
  <c r="R22" i="184"/>
  <c r="U21" i="184"/>
  <c r="P21" i="184"/>
  <c r="R21" i="184"/>
  <c r="U38" i="184"/>
  <c r="R38" i="184"/>
  <c r="P38" i="184"/>
  <c r="R16" i="184"/>
  <c r="U16" i="184"/>
  <c r="P16" i="184"/>
  <c r="V8" i="184" l="1"/>
  <c r="V10" i="186"/>
  <c r="V22" i="186"/>
  <c r="V23" i="186"/>
  <c r="V24" i="186"/>
  <c r="V25" i="186"/>
  <c r="V14" i="186"/>
  <c r="V26" i="186"/>
  <c r="V21" i="186"/>
  <c r="V11" i="186"/>
  <c r="V12" i="186"/>
  <c r="V13" i="186"/>
  <c r="V15" i="186"/>
  <c r="V16" i="186"/>
  <c r="V17" i="186"/>
  <c r="V18" i="186"/>
  <c r="V19" i="186"/>
  <c r="V20" i="186"/>
  <c r="U9" i="186"/>
  <c r="V9" i="186" s="1"/>
  <c r="V27" i="184"/>
  <c r="V39" i="184"/>
  <c r="V17" i="184"/>
  <c r="V15" i="184"/>
  <c r="O66" i="185"/>
  <c r="O78" i="185" s="1"/>
  <c r="J87" i="184"/>
  <c r="R161" i="184" s="1"/>
  <c r="O20" i="185"/>
  <c r="P23" i="184"/>
  <c r="R23" i="184"/>
  <c r="V23" i="184" s="1"/>
  <c r="R40" i="184"/>
  <c r="R43" i="184" s="1"/>
  <c r="X43" i="184" s="1"/>
  <c r="V13" i="184"/>
  <c r="U40" i="184"/>
  <c r="P20" i="184"/>
  <c r="R20" i="184"/>
  <c r="V20" i="184" s="1"/>
  <c r="J89" i="184"/>
  <c r="T160" i="184" s="1"/>
  <c r="J84" i="184"/>
  <c r="P160" i="184" s="1"/>
  <c r="J86" i="184"/>
  <c r="R160" i="184" s="1"/>
  <c r="J90" i="184"/>
  <c r="U160" i="184" s="1"/>
  <c r="J83" i="184"/>
  <c r="O160" i="184" s="1"/>
  <c r="J85" i="184"/>
  <c r="Q160" i="184" s="1"/>
  <c r="J91" i="184"/>
  <c r="V160" i="184" s="1"/>
  <c r="J94" i="184"/>
  <c r="Y160" i="184" s="1"/>
  <c r="N160" i="184"/>
  <c r="J92" i="184"/>
  <c r="W160" i="184" s="1"/>
  <c r="J88" i="184"/>
  <c r="S160" i="184" s="1"/>
  <c r="U42" i="184"/>
  <c r="V37" i="184"/>
  <c r="P42" i="184"/>
  <c r="R93" i="184"/>
  <c r="U9" i="184"/>
  <c r="V9" i="184" s="1"/>
  <c r="P9" i="184"/>
  <c r="O23" i="185"/>
  <c r="K69" i="185"/>
  <c r="V24" i="184"/>
  <c r="E164" i="184"/>
  <c r="H164" i="184" s="1"/>
  <c r="V16" i="184"/>
  <c r="V22" i="184"/>
  <c r="E165" i="184"/>
  <c r="V38" i="184"/>
  <c r="V21" i="184"/>
  <c r="V7" i="184"/>
  <c r="O69" i="185" l="1"/>
  <c r="O70" i="185"/>
  <c r="V40" i="184"/>
  <c r="R29" i="184"/>
  <c r="G40" i="184" s="1"/>
  <c r="C1" i="184" s="1"/>
  <c r="U43" i="184"/>
  <c r="AH15" i="184" s="1"/>
  <c r="E166" i="184"/>
  <c r="H166" i="184" s="1"/>
  <c r="V42" i="184"/>
  <c r="E167" i="184"/>
  <c r="H167" i="184" s="1"/>
  <c r="U29" i="184"/>
  <c r="AA31" i="184" s="1"/>
  <c r="AF22" i="184"/>
  <c r="R45" i="184"/>
  <c r="V29" i="184"/>
  <c r="R44" i="184"/>
  <c r="Y43" i="184" s="1"/>
  <c r="H165" i="184"/>
  <c r="F164" i="184"/>
  <c r="F165" i="184" s="1"/>
  <c r="Z37" i="184"/>
  <c r="Z40" i="184"/>
  <c r="Z39" i="184"/>
  <c r="Z41" i="184"/>
  <c r="Z38" i="184"/>
  <c r="Z42" i="184"/>
  <c r="O86" i="185" l="1"/>
  <c r="R31" i="184"/>
  <c r="C20" i="184" s="1"/>
  <c r="O84" i="185"/>
  <c r="O91" i="185"/>
  <c r="R30" i="184"/>
  <c r="Y20" i="184" s="1"/>
  <c r="C19" i="184"/>
  <c r="O87" i="185" a="1"/>
  <c r="O87" i="185" s="1"/>
  <c r="O88" i="185" s="1"/>
  <c r="X29" i="184"/>
  <c r="Z20" i="184" s="1"/>
  <c r="AF21" i="184"/>
  <c r="V43" i="184"/>
  <c r="W43" i="184" s="1"/>
  <c r="AA45" i="184"/>
  <c r="U44" i="184"/>
  <c r="AF24" i="184"/>
  <c r="E168" i="184"/>
  <c r="K172" i="184" s="1"/>
  <c r="F166" i="184"/>
  <c r="F167" i="184" s="1"/>
  <c r="E169" i="184"/>
  <c r="AA37" i="184"/>
  <c r="AA40" i="184"/>
  <c r="AA39" i="184"/>
  <c r="AA41" i="184"/>
  <c r="AA42" i="184"/>
  <c r="AA38" i="184"/>
  <c r="Z11" i="184"/>
  <c r="Z23" i="184"/>
  <c r="U30" i="184" l="1"/>
  <c r="Y9" i="184"/>
  <c r="O89" i="185"/>
  <c r="Y21" i="184"/>
  <c r="Y18" i="184"/>
  <c r="Y26" i="184"/>
  <c r="Y12" i="184"/>
  <c r="AF17" i="184"/>
  <c r="Y16" i="184"/>
  <c r="Y14" i="184"/>
  <c r="Y10" i="184"/>
  <c r="Y25" i="184"/>
  <c r="Y19" i="184"/>
  <c r="Y7" i="184"/>
  <c r="Y13" i="184"/>
  <c r="Y27" i="184"/>
  <c r="Y24" i="184"/>
  <c r="Y15" i="184"/>
  <c r="Y23" i="184"/>
  <c r="Y29" i="184"/>
  <c r="Y11" i="184"/>
  <c r="Y22" i="184"/>
  <c r="Y28" i="184"/>
  <c r="Y8" i="184"/>
  <c r="Y17" i="184"/>
  <c r="Z24" i="184"/>
  <c r="Z17" i="184"/>
  <c r="Z7" i="184"/>
  <c r="Z25" i="184"/>
  <c r="Z9" i="184"/>
  <c r="Z26" i="184"/>
  <c r="Z15" i="184"/>
  <c r="Z13" i="184"/>
  <c r="Z28" i="184"/>
  <c r="Z10" i="184"/>
  <c r="Z27" i="184"/>
  <c r="Z16" i="184"/>
  <c r="Z22" i="184"/>
  <c r="Z19" i="184"/>
  <c r="Z18" i="184"/>
  <c r="Z8" i="184"/>
  <c r="O90" i="185"/>
  <c r="P61" i="185" s="1"/>
  <c r="E170" i="184"/>
  <c r="Z21" i="184"/>
  <c r="Z14" i="184"/>
  <c r="Z12" i="184"/>
  <c r="H168" i="184"/>
  <c r="H169" i="184"/>
  <c r="K173" i="184"/>
  <c r="C24" i="184" s="1"/>
  <c r="K27" i="186" s="1"/>
  <c r="F168" i="184"/>
  <c r="F169" i="184" s="1"/>
  <c r="C23" i="184"/>
  <c r="K26" i="186" s="1"/>
  <c r="AA24" i="184" l="1"/>
  <c r="AA14" i="184"/>
  <c r="AA13" i="184"/>
  <c r="AA20" i="184"/>
  <c r="AA11" i="184"/>
  <c r="AA7" i="184"/>
  <c r="AA27" i="184"/>
  <c r="AA16" i="184"/>
  <c r="AA10" i="184"/>
  <c r="AA12" i="184"/>
  <c r="AA28" i="184"/>
  <c r="AA15" i="184"/>
  <c r="AA26" i="184"/>
  <c r="AA21" i="184"/>
  <c r="AA23" i="184"/>
  <c r="AA9" i="184"/>
  <c r="AA8" i="184"/>
  <c r="AA18" i="184"/>
  <c r="AA19" i="184"/>
  <c r="AA17" i="184"/>
  <c r="AA25" i="184"/>
  <c r="AA22" i="184"/>
  <c r="P65" i="185"/>
  <c r="P54" i="185"/>
  <c r="P77" i="185"/>
  <c r="P59" i="185"/>
  <c r="P62" i="185"/>
  <c r="P68" i="185" s="1"/>
  <c r="P57" i="185"/>
  <c r="P53" i="185"/>
  <c r="P71" i="185"/>
  <c r="P75" i="185"/>
  <c r="P63" i="185"/>
  <c r="P74" i="185"/>
  <c r="P72" i="185"/>
  <c r="P55" i="185"/>
  <c r="P67" i="185" s="1"/>
  <c r="P79" i="185"/>
  <c r="P58" i="185"/>
  <c r="P76" i="185"/>
  <c r="P80" i="185" s="1"/>
  <c r="P60" i="185"/>
  <c r="P56" i="185"/>
  <c r="P73" i="185"/>
  <c r="K174" i="184"/>
  <c r="C22" i="184" s="1"/>
  <c r="K25" i="186" s="1"/>
  <c r="P66" i="185"/>
  <c r="P69" i="185" s="1"/>
  <c r="P64" i="185"/>
  <c r="P41" i="182"/>
  <c r="P40" i="182"/>
  <c r="AA29" i="184" l="1"/>
  <c r="AF19" i="184" s="1"/>
  <c r="J175" i="184"/>
  <c r="P78" i="185"/>
  <c r="P70" i="185"/>
  <c r="P39" i="182"/>
  <c r="AA32" i="184" l="1"/>
  <c r="AA46" i="184" s="1"/>
  <c r="U31" i="184"/>
  <c r="AA30" i="184"/>
  <c r="AA43" i="184"/>
  <c r="AF18" i="184" s="1"/>
  <c r="P91" i="185"/>
  <c r="P93" i="185" s="1"/>
  <c r="P86" i="185"/>
  <c r="P84" i="185"/>
  <c r="P87" i="185"/>
  <c r="P88" i="185" s="1"/>
  <c r="V31" i="184"/>
  <c r="AF25" i="184"/>
  <c r="U45" i="184"/>
  <c r="P94" i="185" l="1"/>
  <c r="AA44" i="184"/>
  <c r="V45" i="184" s="1"/>
  <c r="AH17" i="184" s="1"/>
  <c r="P89" i="185"/>
  <c r="P90" i="185"/>
  <c r="Q66" i="185" s="1"/>
  <c r="Q78" i="185" s="1"/>
  <c r="AF26" i="184"/>
  <c r="Q71" i="185" l="1"/>
  <c r="Q79" i="185"/>
  <c r="Q57" i="185"/>
  <c r="Q56" i="185"/>
  <c r="Q76" i="185"/>
  <c r="Q80" i="185" s="1"/>
  <c r="Q77" i="185"/>
  <c r="Q63" i="185"/>
  <c r="Q64" i="185"/>
  <c r="AH16" i="184"/>
  <c r="Q62" i="185"/>
  <c r="Q68" i="185" s="1"/>
  <c r="Q75" i="185"/>
  <c r="Q59" i="185"/>
  <c r="Q70" i="185"/>
  <c r="Q74" i="185"/>
  <c r="Q55" i="185"/>
  <c r="Q67" i="185" s="1"/>
  <c r="Q65" i="185"/>
  <c r="Q73" i="185"/>
  <c r="Q60" i="185"/>
  <c r="Q72" i="185"/>
  <c r="Q58" i="185"/>
  <c r="Q53" i="185"/>
  <c r="Q69" i="185"/>
  <c r="Q61" i="185"/>
  <c r="Q54" i="185"/>
  <c r="W45" i="184"/>
  <c r="W46" i="184" s="1"/>
  <c r="Q87" i="185" l="1"/>
  <c r="Q88" i="185" s="1"/>
  <c r="Q91" i="185"/>
  <c r="Q93" i="185" s="1"/>
  <c r="Q84" i="185"/>
  <c r="Q86" i="185"/>
  <c r="Q90" i="185" l="1"/>
  <c r="R61" i="185" s="1"/>
  <c r="J61" i="185" s="1"/>
  <c r="Q94" i="185"/>
  <c r="L24" i="186" s="1"/>
  <c r="Q89" i="185"/>
  <c r="Q38" i="182"/>
  <c r="R57" i="185"/>
  <c r="J57" i="185" s="1"/>
  <c r="Q136" i="182"/>
  <c r="R58" i="185" l="1"/>
  <c r="J58" i="185" s="1"/>
  <c r="R75" i="185"/>
  <c r="J75" i="185" s="1"/>
  <c r="N37" i="185" s="1"/>
  <c r="R37" i="185" s="1"/>
  <c r="R55" i="185"/>
  <c r="R67" i="185" s="1"/>
  <c r="J67" i="185" s="1"/>
  <c r="R72" i="185"/>
  <c r="J72" i="185" s="1"/>
  <c r="N26" i="185" s="1"/>
  <c r="R64" i="185"/>
  <c r="J64" i="185" s="1"/>
  <c r="R77" i="185"/>
  <c r="J77" i="185" s="1"/>
  <c r="N39" i="185" s="1"/>
  <c r="R59" i="185"/>
  <c r="J59" i="185" s="1"/>
  <c r="N13" i="185" s="1"/>
  <c r="R79" i="185"/>
  <c r="J79" i="185" s="1"/>
  <c r="N41" i="185" s="1"/>
  <c r="R74" i="185"/>
  <c r="J74" i="185" s="1"/>
  <c r="N28" i="185" s="1"/>
  <c r="R60" i="185"/>
  <c r="J60" i="185" s="1"/>
  <c r="E160" i="185" s="1"/>
  <c r="R63" i="185"/>
  <c r="J63" i="185" s="1"/>
  <c r="H160" i="185" s="1"/>
  <c r="R65" i="185"/>
  <c r="J65" i="185" s="1"/>
  <c r="N19" i="185" s="1"/>
  <c r="R71" i="185"/>
  <c r="J71" i="185" s="1"/>
  <c r="R66" i="185"/>
  <c r="R78" i="185" s="1"/>
  <c r="J78" i="185" s="1"/>
  <c r="N40" i="185" s="1"/>
  <c r="R73" i="185"/>
  <c r="J73" i="185" s="1"/>
  <c r="N27" i="185" s="1"/>
  <c r="R56" i="185"/>
  <c r="J56" i="185" s="1"/>
  <c r="R53" i="185"/>
  <c r="R76" i="185"/>
  <c r="J76" i="185" s="1"/>
  <c r="R54" i="185"/>
  <c r="J54" i="185" s="1"/>
  <c r="L57" i="185" s="1"/>
  <c r="R62" i="185"/>
  <c r="R68" i="185" s="1"/>
  <c r="J68" i="185" s="1"/>
  <c r="AL11" i="182"/>
  <c r="AM11" i="182" s="1"/>
  <c r="M136" i="182"/>
  <c r="N18" i="185"/>
  <c r="I160" i="185"/>
  <c r="F160" i="185"/>
  <c r="N15" i="185"/>
  <c r="AP153" i="185"/>
  <c r="AO153" i="185" s="1"/>
  <c r="N11" i="185"/>
  <c r="AP149" i="185"/>
  <c r="AO149" i="185" s="1"/>
  <c r="N25" i="185"/>
  <c r="AP152" i="185"/>
  <c r="AO152" i="185" s="1"/>
  <c r="AP154" i="185"/>
  <c r="AO154" i="185" s="1"/>
  <c r="J53" i="185"/>
  <c r="AP150" i="185"/>
  <c r="AO150" i="185" s="1"/>
  <c r="N12" i="185"/>
  <c r="AP148" i="185"/>
  <c r="AO148" i="185" s="1"/>
  <c r="N10" i="185"/>
  <c r="L160" i="185"/>
  <c r="K160" i="185"/>
  <c r="Q141" i="182"/>
  <c r="Q150" i="182"/>
  <c r="Q133" i="182"/>
  <c r="Q135" i="182"/>
  <c r="Q134" i="182"/>
  <c r="Q144" i="182"/>
  <c r="Q145" i="182"/>
  <c r="Q138" i="182"/>
  <c r="Q149" i="182"/>
  <c r="Q143" i="182"/>
  <c r="Q148" i="182"/>
  <c r="M160" i="185" l="1"/>
  <c r="P37" i="185"/>
  <c r="J66" i="185"/>
  <c r="U37" i="185"/>
  <c r="R70" i="185"/>
  <c r="J70" i="185" s="1"/>
  <c r="N24" i="185" s="1"/>
  <c r="U24" i="185" s="1"/>
  <c r="R69" i="185"/>
  <c r="J69" i="185" s="1"/>
  <c r="N23" i="185" s="1"/>
  <c r="J55" i="185"/>
  <c r="L58" i="185" s="1"/>
  <c r="J160" i="185"/>
  <c r="AP146" i="185"/>
  <c r="AO146" i="185" s="1"/>
  <c r="R80" i="185"/>
  <c r="J80" i="185" s="1"/>
  <c r="N42" i="185" s="1"/>
  <c r="J96" i="185"/>
  <c r="AA160" i="185" s="1"/>
  <c r="J98" i="185"/>
  <c r="AC160" i="185" s="1"/>
  <c r="J95" i="185"/>
  <c r="Z160" i="185" s="1"/>
  <c r="N8" i="185"/>
  <c r="R8" i="185" s="1"/>
  <c r="N17" i="185"/>
  <c r="U17" i="185" s="1"/>
  <c r="AL35" i="182"/>
  <c r="AM35" i="182" s="1"/>
  <c r="M145" i="182"/>
  <c r="M144" i="182"/>
  <c r="AL34" i="182"/>
  <c r="AM34" i="182" s="1"/>
  <c r="AL9" i="182"/>
  <c r="AM9" i="182" s="1"/>
  <c r="M134" i="182"/>
  <c r="AL40" i="182"/>
  <c r="AM40" i="182" s="1"/>
  <c r="M150" i="182"/>
  <c r="AL38" i="182"/>
  <c r="AM38" i="182" s="1"/>
  <c r="M148" i="182"/>
  <c r="M135" i="182"/>
  <c r="AL10" i="182"/>
  <c r="AM10" i="182" s="1"/>
  <c r="AL33" i="182"/>
  <c r="AM33" i="182" s="1"/>
  <c r="M143" i="182"/>
  <c r="M149" i="182"/>
  <c r="AL39" i="182"/>
  <c r="AM39" i="182" s="1"/>
  <c r="J62" i="185"/>
  <c r="L64" i="185"/>
  <c r="J97" i="185"/>
  <c r="AB160" i="185" s="1"/>
  <c r="N14" i="185"/>
  <c r="P14" i="185" s="1"/>
  <c r="AL8" i="182"/>
  <c r="AM8" i="182" s="1"/>
  <c r="AL13" i="182"/>
  <c r="AM13" i="182" s="1"/>
  <c r="AL31" i="182"/>
  <c r="AM31" i="182" s="1"/>
  <c r="M133" i="182"/>
  <c r="M138" i="182"/>
  <c r="M141" i="182"/>
  <c r="U13" i="185"/>
  <c r="R13" i="185"/>
  <c r="P13" i="185"/>
  <c r="U18" i="185"/>
  <c r="R18" i="185"/>
  <c r="P18" i="185"/>
  <c r="P8" i="185"/>
  <c r="U8" i="185"/>
  <c r="U10" i="185"/>
  <c r="R10" i="185"/>
  <c r="P10" i="185"/>
  <c r="R25" i="185"/>
  <c r="U25" i="185"/>
  <c r="U41" i="185"/>
  <c r="R41" i="185"/>
  <c r="P41" i="185"/>
  <c r="U12" i="185"/>
  <c r="R12" i="185"/>
  <c r="P12" i="185"/>
  <c r="U27" i="185"/>
  <c r="R27" i="185"/>
  <c r="P27" i="185"/>
  <c r="P24" i="185"/>
  <c r="R11" i="185"/>
  <c r="P11" i="185"/>
  <c r="U11" i="185"/>
  <c r="L56" i="185"/>
  <c r="N7" i="185"/>
  <c r="AP145" i="185"/>
  <c r="AO145" i="185" s="1"/>
  <c r="R28" i="185"/>
  <c r="P28" i="185"/>
  <c r="U28" i="185"/>
  <c r="N21" i="185"/>
  <c r="AQ147" i="185"/>
  <c r="AP151" i="185"/>
  <c r="N38" i="185"/>
  <c r="N20" i="185"/>
  <c r="J81" i="185"/>
  <c r="U39" i="185"/>
  <c r="R39" i="185"/>
  <c r="P39" i="185"/>
  <c r="U40" i="185"/>
  <c r="R40" i="185"/>
  <c r="P40" i="185"/>
  <c r="V37" i="185"/>
  <c r="AP147" i="185"/>
  <c r="R17" i="185"/>
  <c r="P17" i="185"/>
  <c r="U19" i="185"/>
  <c r="R19" i="185"/>
  <c r="P19" i="185"/>
  <c r="G161" i="185"/>
  <c r="N22" i="185"/>
  <c r="U26" i="185"/>
  <c r="R26" i="185"/>
  <c r="R15" i="185"/>
  <c r="P15" i="185"/>
  <c r="U15" i="185"/>
  <c r="Q142" i="182"/>
  <c r="Q137" i="182"/>
  <c r="Q146" i="182"/>
  <c r="Q147" i="182"/>
  <c r="Q140" i="182"/>
  <c r="Q139" i="182"/>
  <c r="R24" i="185" l="1"/>
  <c r="N9" i="185"/>
  <c r="J82" i="185"/>
  <c r="R91" i="185"/>
  <c r="T94" i="185"/>
  <c r="C21" i="185" s="1"/>
  <c r="AQ151" i="185"/>
  <c r="AO151" i="185" s="1"/>
  <c r="M147" i="182"/>
  <c r="AL37" i="182"/>
  <c r="AM37" i="182" s="1"/>
  <c r="G160" i="185"/>
  <c r="N16" i="185"/>
  <c r="U16" i="185" s="1"/>
  <c r="U14" i="185"/>
  <c r="R14" i="185"/>
  <c r="W9" i="186" a="1"/>
  <c r="AL36" i="182"/>
  <c r="AM36" i="182" s="1"/>
  <c r="AL14" i="182"/>
  <c r="AM14" i="182" s="1"/>
  <c r="AL12" i="182"/>
  <c r="AM12" i="182" s="1"/>
  <c r="AL32" i="182"/>
  <c r="AM32" i="182" s="1"/>
  <c r="AL15" i="182"/>
  <c r="AM15" i="182" s="1"/>
  <c r="M146" i="182"/>
  <c r="M139" i="182"/>
  <c r="M137" i="182"/>
  <c r="M140" i="182"/>
  <c r="M142" i="182"/>
  <c r="V17" i="185"/>
  <c r="V15" i="185"/>
  <c r="V27" i="185"/>
  <c r="V8" i="185"/>
  <c r="V26" i="185"/>
  <c r="V12" i="185"/>
  <c r="V24" i="185"/>
  <c r="V25" i="185"/>
  <c r="AO147" i="185"/>
  <c r="V39" i="185"/>
  <c r="V28" i="185"/>
  <c r="U9" i="185"/>
  <c r="R9" i="185"/>
  <c r="P9" i="185"/>
  <c r="J83" i="185"/>
  <c r="O160" i="185" s="1"/>
  <c r="J92" i="185"/>
  <c r="W160" i="185" s="1"/>
  <c r="J90" i="185"/>
  <c r="U160" i="185" s="1"/>
  <c r="J88" i="185"/>
  <c r="S160" i="185" s="1"/>
  <c r="J86" i="185"/>
  <c r="R160" i="185" s="1"/>
  <c r="J84" i="185"/>
  <c r="P160" i="185" s="1"/>
  <c r="J93" i="185"/>
  <c r="X160" i="185" s="1"/>
  <c r="J94" i="185"/>
  <c r="Y160" i="185" s="1"/>
  <c r="N160" i="185"/>
  <c r="J91" i="185"/>
  <c r="V160" i="185" s="1"/>
  <c r="J89" i="185"/>
  <c r="T160" i="185" s="1"/>
  <c r="J85" i="185"/>
  <c r="Q160" i="185" s="1"/>
  <c r="V13" i="185"/>
  <c r="U20" i="185"/>
  <c r="R20" i="185"/>
  <c r="P20" i="185"/>
  <c r="P7" i="185"/>
  <c r="R7" i="185"/>
  <c r="U7" i="185"/>
  <c r="V10" i="185"/>
  <c r="P42" i="185"/>
  <c r="U42" i="185"/>
  <c r="R42" i="185"/>
  <c r="V19" i="185"/>
  <c r="U21" i="185"/>
  <c r="R21" i="185"/>
  <c r="P21" i="185"/>
  <c r="V40" i="185"/>
  <c r="J87" i="185"/>
  <c r="R161" i="185" s="1"/>
  <c r="N161" i="185"/>
  <c r="V41" i="185"/>
  <c r="V18" i="185"/>
  <c r="R93" i="185"/>
  <c r="R94" i="185"/>
  <c r="U38" i="185"/>
  <c r="P38" i="185"/>
  <c r="R38" i="185"/>
  <c r="U23" i="185"/>
  <c r="R23" i="185"/>
  <c r="P23" i="185"/>
  <c r="V11" i="185"/>
  <c r="P22" i="185"/>
  <c r="R22" i="185"/>
  <c r="U22" i="185"/>
  <c r="R16" i="185" l="1"/>
  <c r="P16" i="185"/>
  <c r="V14" i="185"/>
  <c r="X11" i="186"/>
  <c r="X23" i="186"/>
  <c r="X14" i="186"/>
  <c r="X20" i="186"/>
  <c r="X12" i="186"/>
  <c r="X24" i="186"/>
  <c r="X25" i="186"/>
  <c r="X26" i="186"/>
  <c r="X19" i="186"/>
  <c r="X22" i="186"/>
  <c r="X13" i="186"/>
  <c r="X15" i="186"/>
  <c r="X17" i="186"/>
  <c r="X18" i="186"/>
  <c r="X10" i="186"/>
  <c r="X16" i="186"/>
  <c r="X21" i="186"/>
  <c r="W9" i="186"/>
  <c r="X9" i="186" s="1"/>
  <c r="E164" i="185"/>
  <c r="H164" i="185" s="1"/>
  <c r="R43" i="185"/>
  <c r="X43" i="185" s="1"/>
  <c r="V16" i="185"/>
  <c r="E165" i="185"/>
  <c r="H165" i="185" s="1"/>
  <c r="V21" i="185"/>
  <c r="V20" i="185"/>
  <c r="V42" i="185"/>
  <c r="V22" i="185"/>
  <c r="V7" i="185"/>
  <c r="U29" i="185"/>
  <c r="V38" i="185"/>
  <c r="U43" i="185"/>
  <c r="R29" i="185"/>
  <c r="E167" i="185"/>
  <c r="H167" i="185" s="1"/>
  <c r="E166" i="185"/>
  <c r="V9" i="185"/>
  <c r="V23" i="185"/>
  <c r="E168" i="185" l="1"/>
  <c r="H168" i="185" s="1"/>
  <c r="AF22" i="185"/>
  <c r="R45" i="185"/>
  <c r="R44" i="185"/>
  <c r="Y43" i="185" s="1"/>
  <c r="F164" i="185"/>
  <c r="F165" i="185" s="1"/>
  <c r="V43" i="185"/>
  <c r="X29" i="185"/>
  <c r="R30" i="185"/>
  <c r="AF21" i="185"/>
  <c r="R31" i="185"/>
  <c r="C20" i="185" s="1"/>
  <c r="G40" i="185"/>
  <c r="C1" i="185" s="1"/>
  <c r="C19" i="185"/>
  <c r="H166" i="185"/>
  <c r="F166" i="185"/>
  <c r="F167" i="185" s="1"/>
  <c r="AA31" i="185"/>
  <c r="AF24" i="185"/>
  <c r="E169" i="185"/>
  <c r="AA45" i="185"/>
  <c r="AH15" i="185"/>
  <c r="U44" i="185"/>
  <c r="V29" i="185"/>
  <c r="W43" i="185" s="1"/>
  <c r="Z37" i="185"/>
  <c r="Z39" i="185"/>
  <c r="Z40" i="185"/>
  <c r="Z41" i="185"/>
  <c r="Z38" i="185"/>
  <c r="Z42" i="185"/>
  <c r="K172" i="185" l="1"/>
  <c r="F168" i="185"/>
  <c r="F169" i="185" s="1"/>
  <c r="AA37" i="185"/>
  <c r="AA39" i="185"/>
  <c r="AA42" i="185"/>
  <c r="AA38" i="185"/>
  <c r="AA41" i="185"/>
  <c r="AA40" i="185"/>
  <c r="Y29" i="185"/>
  <c r="AF17" i="185"/>
  <c r="Y13" i="185"/>
  <c r="Y25" i="185"/>
  <c r="Y11" i="185"/>
  <c r="Y17" i="185"/>
  <c r="Y27" i="185"/>
  <c r="Y26" i="185"/>
  <c r="Y8" i="185"/>
  <c r="Y18" i="185"/>
  <c r="Y10" i="185"/>
  <c r="Y12" i="185"/>
  <c r="Y19" i="185"/>
  <c r="Y28" i="185"/>
  <c r="Y15" i="185"/>
  <c r="Y14" i="185"/>
  <c r="Y24" i="185"/>
  <c r="Y20" i="185"/>
  <c r="Y21" i="185"/>
  <c r="Y22" i="185"/>
  <c r="Y16" i="185"/>
  <c r="Y23" i="185"/>
  <c r="Y9" i="185"/>
  <c r="Y7" i="185"/>
  <c r="Z25" i="185"/>
  <c r="Z28" i="185"/>
  <c r="Z15" i="185"/>
  <c r="Z13" i="185"/>
  <c r="Z17" i="185"/>
  <c r="Z26" i="185"/>
  <c r="Z27" i="185"/>
  <c r="Z8" i="185"/>
  <c r="Z11" i="185"/>
  <c r="Z18" i="185"/>
  <c r="Z10" i="185"/>
  <c r="Z24" i="185"/>
  <c r="Z19" i="185"/>
  <c r="Z14" i="185"/>
  <c r="Z12" i="185"/>
  <c r="Z20" i="185"/>
  <c r="Z21" i="185"/>
  <c r="Z22" i="185"/>
  <c r="Z23" i="185"/>
  <c r="Z9" i="185"/>
  <c r="Z16" i="185"/>
  <c r="Z7" i="185"/>
  <c r="U30" i="185"/>
  <c r="C23" i="185"/>
  <c r="L26" i="186" s="1"/>
  <c r="E170" i="185"/>
  <c r="H169" i="185"/>
  <c r="K173" i="185"/>
  <c r="C24" i="185" s="1"/>
  <c r="L27" i="186" s="1"/>
  <c r="AA19" i="185" l="1"/>
  <c r="AA25" i="185"/>
  <c r="AA16" i="185"/>
  <c r="AA11" i="185"/>
  <c r="AA7" i="185"/>
  <c r="AA18" i="185"/>
  <c r="AA24" i="185"/>
  <c r="AA10" i="185"/>
  <c r="AA23" i="185"/>
  <c r="AA17" i="185"/>
  <c r="AA8" i="185"/>
  <c r="AA26" i="185"/>
  <c r="AA20" i="185"/>
  <c r="AA22" i="185"/>
  <c r="AA21" i="185"/>
  <c r="AA12" i="185"/>
  <c r="AA9" i="185"/>
  <c r="AA27" i="185"/>
  <c r="AA13" i="185"/>
  <c r="AA15" i="185"/>
  <c r="AA14" i="185"/>
  <c r="AA28" i="185"/>
  <c r="Q41" i="182"/>
  <c r="Q40" i="182"/>
  <c r="K174" i="185"/>
  <c r="AA29" i="185" l="1"/>
  <c r="AA30" i="185" s="1"/>
  <c r="AF25" i="185" s="1"/>
  <c r="J175" i="185"/>
  <c r="C22" i="185"/>
  <c r="L25" i="186" s="1"/>
  <c r="AA32" i="185" l="1"/>
  <c r="AA46" i="185" s="1"/>
  <c r="AA43" i="185"/>
  <c r="AF18" i="185" s="1"/>
  <c r="AF19" i="185"/>
  <c r="U31" i="185"/>
  <c r="V31" i="185"/>
  <c r="AF26" i="185" s="1"/>
  <c r="Q39" i="182"/>
  <c r="AA44" i="185" l="1"/>
  <c r="V45" i="185" s="1"/>
  <c r="U45" i="185"/>
  <c r="AH16" i="185" l="1"/>
  <c r="AH17" i="185"/>
  <c r="W45" i="185"/>
  <c r="W46" i="185"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<sst xmlns="http://schemas.openxmlformats.org/spreadsheetml/2006/main" count="3542" uniqueCount="392">
  <si>
    <t>GCA</t>
  </si>
  <si>
    <t>FZK Entry Baumgarten</t>
  </si>
  <si>
    <t>FZK Entry Oberkappel</t>
  </si>
  <si>
    <t>FZK Entry Überackern</t>
  </si>
  <si>
    <t>FZK Entry Moson</t>
  </si>
  <si>
    <t>FZK Entry Murfeld</t>
  </si>
  <si>
    <t>FZK Entry Petrzalka</t>
  </si>
  <si>
    <t>FZK Exit Baumgarten</t>
  </si>
  <si>
    <t>FZK Exit Oberkappel</t>
  </si>
  <si>
    <t>FZK Exit Murfeld</t>
  </si>
  <si>
    <t>FZK Exit Moson</t>
  </si>
  <si>
    <t>FZK Exit Verteilergebiet</t>
  </si>
  <si>
    <t>FZK Exit Überackern</t>
  </si>
  <si>
    <t>TAG</t>
  </si>
  <si>
    <t>FZK Entry Arnoldstein</t>
  </si>
  <si>
    <t>FZK Exit Arnoldstein</t>
  </si>
  <si>
    <t xml:space="preserve">Tariff calculation </t>
  </si>
  <si>
    <t>DZK discount</t>
  </si>
  <si>
    <t>Total costs MG Ost</t>
  </si>
  <si>
    <t>€</t>
  </si>
  <si>
    <t>Arnoldstein</t>
  </si>
  <si>
    <t>Entry</t>
  </si>
  <si>
    <t>Baumgarten</t>
  </si>
  <si>
    <t>Oberkappel</t>
  </si>
  <si>
    <t>Überackern</t>
  </si>
  <si>
    <t>Storage MAB</t>
  </si>
  <si>
    <t>TSO</t>
  </si>
  <si>
    <t>Direction</t>
  </si>
  <si>
    <t>Type</t>
  </si>
  <si>
    <t>Point</t>
  </si>
  <si>
    <t>Exit</t>
  </si>
  <si>
    <t>FZK</t>
  </si>
  <si>
    <t>DZK</t>
  </si>
  <si>
    <t>Murfeld</t>
  </si>
  <si>
    <t>Petrzalka</t>
  </si>
  <si>
    <t>Verteilergebiet</t>
  </si>
  <si>
    <t>VG-Kärnten</t>
  </si>
  <si>
    <t>-</t>
  </si>
  <si>
    <t>kWh/h</t>
  </si>
  <si>
    <t>Mosonmagyarovar</t>
  </si>
  <si>
    <t>Auersthal</t>
  </si>
  <si>
    <t>Kirchberg</t>
  </si>
  <si>
    <t>Gr. Göttfritz</t>
  </si>
  <si>
    <t>Rainbach</t>
  </si>
  <si>
    <t>Bad Leonfelden</t>
  </si>
  <si>
    <t>Arnreith</t>
  </si>
  <si>
    <t>Baumgarten-PVS2</t>
  </si>
  <si>
    <t>Eggendorf</t>
  </si>
  <si>
    <t>Grafendorf</t>
  </si>
  <si>
    <t>St. Margarethen</t>
  </si>
  <si>
    <t>Weitendorf</t>
  </si>
  <si>
    <t>Sulmeck-Greith</t>
  </si>
  <si>
    <t>Ettendorf</t>
  </si>
  <si>
    <t>Waisenberg</t>
  </si>
  <si>
    <t>Ebenthal</t>
  </si>
  <si>
    <t>Finkenstein</t>
  </si>
  <si>
    <t>Storage 7-fields</t>
  </si>
  <si>
    <t>EUR/kWh/h/a</t>
  </si>
  <si>
    <t>Total</t>
  </si>
  <si>
    <t>TEUR</t>
  </si>
  <si>
    <t>EUR/kWh/h</t>
  </si>
  <si>
    <t>capacity-</t>
  </si>
  <si>
    <t>volumes</t>
  </si>
  <si>
    <t>kWh/h/a</t>
  </si>
  <si>
    <t>Revenue for Intra</t>
  </si>
  <si>
    <t>Revenue for Cross</t>
  </si>
  <si>
    <t>Cost driver for Entry Intra</t>
  </si>
  <si>
    <t>Cost driver for Exit Intra</t>
  </si>
  <si>
    <t>Cost driver for Intra</t>
  </si>
  <si>
    <t>Ratio intra</t>
  </si>
  <si>
    <t>Cost driver for Entry Cross</t>
  </si>
  <si>
    <t>Ratio cross</t>
  </si>
  <si>
    <t>Cost driver for Exit Cross</t>
  </si>
  <si>
    <t>Cost driver for Cross</t>
  </si>
  <si>
    <t>TEST results</t>
  </si>
  <si>
    <t>CAA capacity</t>
  </si>
  <si>
    <t>Entry capacity (Intra-Use)</t>
  </si>
  <si>
    <t>Entry capacity (Cross-Use)</t>
  </si>
  <si>
    <t>Weighted distance for each entry point to intra exits</t>
  </si>
  <si>
    <t xml:space="preserve"> Weighted distance for each entry point to cross exits</t>
  </si>
  <si>
    <t>EUR/(km*MWh/h)</t>
  </si>
  <si>
    <t>CAA cap.</t>
  </si>
  <si>
    <t>Cross</t>
  </si>
  <si>
    <t>Intra</t>
  </si>
  <si>
    <t>ITC GCA-&gt;TAG €</t>
  </si>
  <si>
    <t>eff. E/X split:</t>
  </si>
  <si>
    <t>difference</t>
  </si>
  <si>
    <t>relative</t>
  </si>
  <si>
    <t>based tariff</t>
  </si>
  <si>
    <t>Allowed costs (TEUR)</t>
  </si>
  <si>
    <t>GCA allowed costs €</t>
  </si>
  <si>
    <t>TAG allowed costs €</t>
  </si>
  <si>
    <t>FZK Exit Petrzalka</t>
  </si>
  <si>
    <t>Exit revenues from Intra (TEUR)</t>
  </si>
  <si>
    <t>Exit revenues from Cross (TEUR)</t>
  </si>
  <si>
    <t>FZK Entry Verteilergebiet</t>
  </si>
  <si>
    <t>DZK Entry ÜA (OK)</t>
  </si>
  <si>
    <t>DZK Exit Verteilergebiet (Bmg)</t>
  </si>
  <si>
    <t>DZK Exit Verteilergebiet (OK)</t>
  </si>
  <si>
    <t>DZK Exit ÜA (OK)</t>
  </si>
  <si>
    <t>Exit Speicher 7-fields</t>
  </si>
  <si>
    <t>Entry Speicher 7-fields</t>
  </si>
  <si>
    <t>Entry Speicher MAB</t>
  </si>
  <si>
    <t>Exit Speicher MAB</t>
  </si>
  <si>
    <t>FZK Exit VG-Kärnten</t>
  </si>
  <si>
    <t>Over-/underrecovery</t>
  </si>
  <si>
    <t>EUR/MWh</t>
  </si>
  <si>
    <t>UGS</t>
  </si>
  <si>
    <t>DZK Entry Arnoldstein (VG)</t>
  </si>
  <si>
    <t>No</t>
  </si>
  <si>
    <t>Tariff volumes</t>
  </si>
  <si>
    <t>Model RP4</t>
  </si>
  <si>
    <t>Tariff result</t>
  </si>
  <si>
    <t>Tariff</t>
  </si>
  <si>
    <t>bookings</t>
  </si>
  <si>
    <t>revenues</t>
  </si>
  <si>
    <t>Tariffication</t>
  </si>
  <si>
    <t>ITC (positive=receiving)</t>
  </si>
  <si>
    <t>shortfall</t>
  </si>
  <si>
    <t>Comparison</t>
  </si>
  <si>
    <t>Effective revenues</t>
  </si>
  <si>
    <t>Dir</t>
  </si>
  <si>
    <t>%</t>
  </si>
  <si>
    <t>Eff. E/X Split</t>
  </si>
  <si>
    <t>€/MWh</t>
  </si>
  <si>
    <t>GCA commodity costs</t>
  </si>
  <si>
    <t>TAG commodity costs</t>
  </si>
  <si>
    <t>kWh</t>
  </si>
  <si>
    <t>Ratio cross-system usage</t>
  </si>
  <si>
    <t>Ratio intra-system usage</t>
  </si>
  <si>
    <t>Tariff solution feasible?</t>
  </si>
  <si>
    <t>Key Parameters &amp; Results</t>
  </si>
  <si>
    <t>Tariff Results Table</t>
  </si>
  <si>
    <t>E/X-Split (entry part)</t>
  </si>
  <si>
    <t>Entry costs</t>
  </si>
  <si>
    <t>Exit costs</t>
  </si>
  <si>
    <t xml:space="preserve">                                          Exit
                  Entry</t>
  </si>
  <si>
    <t>entry cost share</t>
  </si>
  <si>
    <t>Exit cost share</t>
  </si>
  <si>
    <t>Entry tariff FZK</t>
  </si>
  <si>
    <t>Entry tariff DZK</t>
  </si>
  <si>
    <t>Pipeline distances, Variant "unclustered"</t>
  </si>
  <si>
    <t>global rescaling factor:</t>
  </si>
  <si>
    <t>ex-post equalised tariff FZK:</t>
  </si>
  <si>
    <t>ex-post equalised tariff DZK:</t>
  </si>
  <si>
    <t>Raw CWD exit tariff FZK</t>
  </si>
  <si>
    <t>Raw CWD exit tariff DZK</t>
  </si>
  <si>
    <t>adj. exit tariff FZK</t>
  </si>
  <si>
    <t>adj. exit tariff DZK</t>
  </si>
  <si>
    <t>underrecovery exit:</t>
  </si>
  <si>
    <t>adj. entry tariff FZK</t>
  </si>
  <si>
    <t>adj. entry tariff DZK</t>
  </si>
  <si>
    <t>adj. entry revenues before rescaling</t>
  </si>
  <si>
    <t>adj. exit revenues before rescaling</t>
  </si>
  <si>
    <t>ex-post storage discount tariff:</t>
  </si>
  <si>
    <t>underrecovery entry:</t>
  </si>
  <si>
    <t>total underrecovery before rescaling:</t>
  </si>
  <si>
    <t>rescaling allowed?</t>
  </si>
  <si>
    <t>rescaled exit tariff FZK</t>
  </si>
  <si>
    <t>rescaled exit tariff DZK</t>
  </si>
  <si>
    <t>adj. exit revenues after rescaling</t>
  </si>
  <si>
    <t>adj. entry revenues after rescaling</t>
  </si>
  <si>
    <t>total underrecovery after rescaling:</t>
  </si>
  <si>
    <t>Total capacity costs to cover:</t>
  </si>
  <si>
    <t>Total capacity costs from rescalable tariffs:</t>
  </si>
  <si>
    <t>Total capacity costs from non-rescalable tariffs:</t>
  </si>
  <si>
    <t>Total capacity costs pre-rescaling tariffs:</t>
  </si>
  <si>
    <t>Model under/overrecovery (€)</t>
  </si>
  <si>
    <t>Eff. fc. E/X split: entry share</t>
  </si>
  <si>
    <t>Helper cells:</t>
  </si>
  <si>
    <t>forecasted capacity (kWh/h)</t>
  </si>
  <si>
    <t>rescaled entry tariff FZK</t>
  </si>
  <si>
    <t>rescaled entry tariff DZK</t>
  </si>
  <si>
    <t>entry rescaling factor:</t>
  </si>
  <si>
    <t>exit rescaling factor:</t>
  </si>
  <si>
    <t>apply global rescaling factor?</t>
  </si>
  <si>
    <t>IRA</t>
  </si>
  <si>
    <t>contribution</t>
  </si>
  <si>
    <t>VWAP</t>
  </si>
  <si>
    <t>component</t>
  </si>
  <si>
    <t>ITC tariff</t>
  </si>
  <si>
    <t>compared to VWAP</t>
  </si>
  <si>
    <t>Weight of tariff</t>
  </si>
  <si>
    <t>Storage</t>
  </si>
  <si>
    <t>J53</t>
  </si>
  <si>
    <t>J60</t>
  </si>
  <si>
    <t>J54</t>
  </si>
  <si>
    <t>J55</t>
  </si>
  <si>
    <t>J61</t>
  </si>
  <si>
    <t>J62</t>
  </si>
  <si>
    <t>J67</t>
  </si>
  <si>
    <t>J68</t>
  </si>
  <si>
    <t>J76</t>
  </si>
  <si>
    <t>J77</t>
  </si>
  <si>
    <t>J80</t>
  </si>
  <si>
    <t>J63</t>
  </si>
  <si>
    <t>J65</t>
  </si>
  <si>
    <t>J66</t>
  </si>
  <si>
    <t>J69</t>
  </si>
  <si>
    <t>J79</t>
  </si>
  <si>
    <t>J73</t>
  </si>
  <si>
    <t>ex-post equalised tariff FZK</t>
  </si>
  <si>
    <t>ex-post equalised tariff DZK</t>
  </si>
  <si>
    <t>J74</t>
  </si>
  <si>
    <t>...from adj. ITC</t>
  </si>
  <si>
    <t>target revs exit</t>
  </si>
  <si>
    <t>Art. 5  (1) (a) (iv): forecasted contracted capacity and distance</t>
  </si>
  <si>
    <t>CWD (km)</t>
  </si>
  <si>
    <t>Total fc. exit cap. MWh/h</t>
  </si>
  <si>
    <t>Total fc. entry cap. MWh/h</t>
  </si>
  <si>
    <t>Cost Driver Exit</t>
  </si>
  <si>
    <t>Tariff FZK (€/kWh/h/a)</t>
  </si>
  <si>
    <t>Tariff DZK (€/kWh/h/a)</t>
  </si>
  <si>
    <t>Intra cost driver</t>
  </si>
  <si>
    <t>Cross cost-driver</t>
  </si>
  <si>
    <t>weighted tariff</t>
  </si>
  <si>
    <t>Entry revenues Intra</t>
  </si>
  <si>
    <t>Entry revenues Cross</t>
  </si>
  <si>
    <t>Exit revenues from Intra</t>
  </si>
  <si>
    <t>Exit revenues from Cross</t>
  </si>
  <si>
    <t>km*MWh/h/a</t>
  </si>
  <si>
    <t>Tariff FZK</t>
  </si>
  <si>
    <t>Tariff DZK</t>
  </si>
  <si>
    <t>Config:</t>
  </si>
  <si>
    <t>Storage discount (exit)</t>
  </si>
  <si>
    <t>Baumgarten (Gas Connect Austria)</t>
  </si>
  <si>
    <t>Baumgarten (WAG)</t>
  </si>
  <si>
    <t>Überackern ABG (AT) / Überackern (DE)</t>
  </si>
  <si>
    <t>Überackern SUDAL (AT) / Überackern 2 (DE)</t>
  </si>
  <si>
    <t>exit</t>
  </si>
  <si>
    <t>Murfeld (AT) / Ceršak (SI)</t>
  </si>
  <si>
    <t>Domestic</t>
  </si>
  <si>
    <t>BMGT E (FZK)</t>
  </si>
  <si>
    <t>BMGT X (FZK)</t>
  </si>
  <si>
    <t>OKAP E (FZK)</t>
  </si>
  <si>
    <t>OKAP X (FZK)</t>
  </si>
  <si>
    <t>UACK E (FZK)</t>
  </si>
  <si>
    <t>UACK E (DZK)</t>
  </si>
  <si>
    <t>UACK X (FZK)</t>
  </si>
  <si>
    <t>UACK X (DZK)</t>
  </si>
  <si>
    <t>ARNO E (FZK)</t>
  </si>
  <si>
    <t>ARNO E (DZK)</t>
  </si>
  <si>
    <t>ARNO X (FZK)</t>
  </si>
  <si>
    <t>MOSO X (FZK)</t>
  </si>
  <si>
    <t>MURF X (FZK)</t>
  </si>
  <si>
    <t>VG1 X (FZK)</t>
  </si>
  <si>
    <t>VG1 X (DZK)</t>
  </si>
  <si>
    <t>VGK X (FZK)</t>
  </si>
  <si>
    <t>S7F X (FZK)</t>
  </si>
  <si>
    <t>SMAB X (FZK)</t>
  </si>
  <si>
    <t>CWD 2025</t>
  </si>
  <si>
    <t>Actual bookings</t>
  </si>
  <si>
    <t>CWD 2026</t>
  </si>
  <si>
    <t>CRRC ITC plan</t>
  </si>
  <si>
    <t>Commodity ITC plan</t>
  </si>
  <si>
    <t>Commodity cost base</t>
  </si>
  <si>
    <t>Actual</t>
  </si>
  <si>
    <t>Commodity CAA</t>
  </si>
  <si>
    <t>Include distances as drivers?</t>
  </si>
  <si>
    <t>weighted distances for eac entry point to intra exits</t>
  </si>
  <si>
    <t>weighted distance for each entry point to cross exits</t>
  </si>
  <si>
    <t>GCA flows</t>
  </si>
  <si>
    <t>TAG flows</t>
  </si>
  <si>
    <t>total expected flows</t>
  </si>
  <si>
    <t>expected flows intra</t>
  </si>
  <si>
    <t>expected flows cross</t>
  </si>
  <si>
    <t>driver for entry points for intra</t>
  </si>
  <si>
    <t>driver for entry points cross</t>
  </si>
  <si>
    <t>commodity charge entry</t>
  </si>
  <si>
    <t>Weighted distance for each exit point to entry points</t>
  </si>
  <si>
    <t>kWh/a</t>
  </si>
  <si>
    <t>Driver for exit points</t>
  </si>
  <si>
    <t>Commodity charge exit</t>
  </si>
  <si>
    <t>Entry revenues Intra (TEUR)</t>
  </si>
  <si>
    <t>Entry revenues Cross (TEUR)</t>
  </si>
  <si>
    <t>CAA com.</t>
  </si>
  <si>
    <t>year (from sheet name):</t>
  </si>
  <si>
    <t>Allok</t>
  </si>
  <si>
    <t>Distribution Area</t>
  </si>
  <si>
    <t>Commodity Charge Exit</t>
  </si>
  <si>
    <t>Commodity Charge Entry</t>
  </si>
  <si>
    <t>Year</t>
  </si>
  <si>
    <t>Storage discount (entry)</t>
  </si>
  <si>
    <t>Name</t>
  </si>
  <si>
    <t>GCA total costs (capacity tariff)</t>
  </si>
  <si>
    <t>TAG total costs (capacity tariff)</t>
  </si>
  <si>
    <t>MWh</t>
  </si>
  <si>
    <t>GCA Cost Base</t>
  </si>
  <si>
    <t>TAG Cost Base</t>
  </si>
  <si>
    <t>Com. CAA Index</t>
  </si>
  <si>
    <t>Cap. CAA Index</t>
  </si>
  <si>
    <t>CAA Commodity</t>
  </si>
  <si>
    <t>C11</t>
  </si>
  <si>
    <t>E/X-Split (Commodity)</t>
  </si>
  <si>
    <t>GCA CC volume entry plan</t>
  </si>
  <si>
    <t>TAG CC volume entry plan</t>
  </si>
  <si>
    <t>GCA CC volume exit plan</t>
  </si>
  <si>
    <t>TAG CC volume exit plan</t>
  </si>
  <si>
    <t>GCA CC revenues plan</t>
  </si>
  <si>
    <t>TAG CC revenues plan</t>
  </si>
  <si>
    <t>Commodity E/X-Split: entry share</t>
  </si>
  <si>
    <t>CAA Capacity</t>
  </si>
  <si>
    <t>Cost &amp; Revenue Overview - Capacity</t>
  </si>
  <si>
    <t>Cost &amp; Revenue Overview - Commodity</t>
  </si>
  <si>
    <t>Commodity CB GCA</t>
  </si>
  <si>
    <t>Commodity CB TAG</t>
  </si>
  <si>
    <t>Com. Revs planned CB GCA</t>
  </si>
  <si>
    <t>Com. Revs planned CB TAG</t>
  </si>
  <si>
    <t>Commodity ITC planned</t>
  </si>
  <si>
    <t>Commodity ITC pay as earned</t>
  </si>
  <si>
    <t>Commodity eff. revenues GCA</t>
  </si>
  <si>
    <t>Commodity eff. revenues TAG</t>
  </si>
  <si>
    <t>ITC reduction</t>
  </si>
  <si>
    <t>Commodity actual revenues GCA</t>
  </si>
  <si>
    <t>Commodity actual revenues TAG</t>
  </si>
  <si>
    <t>Delta GCA</t>
  </si>
  <si>
    <t>Delta TAG</t>
  </si>
  <si>
    <t>Capacity tariffs recover cost base?</t>
  </si>
  <si>
    <t>Point-based Data</t>
  </si>
  <si>
    <t>capacity weighted distance</t>
  </si>
  <si>
    <t>Capacity weighted distance</t>
  </si>
  <si>
    <t>Comparison tariff RP4</t>
  </si>
  <si>
    <t>Cost &amp; Revenue Overview Helper Cells</t>
  </si>
  <si>
    <t>Check total:</t>
  </si>
  <si>
    <t>...from plan revs</t>
  </si>
  <si>
    <t>after planned ITC</t>
  </si>
  <si>
    <t>after adj. ITC</t>
  </si>
  <si>
    <t>tariff RP4</t>
  </si>
  <si>
    <t>E/X-split input (Capacity)</t>
  </si>
  <si>
    <t>Total cost base €</t>
  </si>
  <si>
    <t>CAP Y/N</t>
  </si>
  <si>
    <t>global rf</t>
  </si>
  <si>
    <t>recovery free</t>
  </si>
  <si>
    <t>recovery fixed</t>
  </si>
  <si>
    <t>Equalisations - Entry</t>
  </si>
  <si>
    <t>max increase:</t>
  </si>
  <si>
    <t>CWD Tariff</t>
  </si>
  <si>
    <t>no volumes</t>
  </si>
  <si>
    <t>entry</t>
  </si>
  <si>
    <t>recovery</t>
  </si>
  <si>
    <t>cost base</t>
  </si>
  <si>
    <t>exit rf</t>
  </si>
  <si>
    <t>total recovery</t>
  </si>
  <si>
    <t>delta cb</t>
  </si>
  <si>
    <t>cb</t>
  </si>
  <si>
    <t>free delta</t>
  </si>
  <si>
    <t>rescaled tariff1</t>
  </si>
  <si>
    <t>rescaled tariff2</t>
  </si>
  <si>
    <t>rescaled tariff3</t>
  </si>
  <si>
    <t>eff. e/x-split</t>
  </si>
  <si>
    <t>final</t>
  </si>
  <si>
    <r>
      <rPr>
        <b/>
        <u/>
        <sz val="11"/>
        <rFont val="Calibri"/>
        <family val="2"/>
        <scheme val="minor"/>
      </rPr>
      <t>capped</t>
    </r>
    <r>
      <rPr>
        <b/>
        <sz val="11"/>
        <rFont val="Calibri"/>
        <family val="2"/>
        <scheme val="minor"/>
      </rPr>
      <t xml:space="preserve"> tariff</t>
    </r>
  </si>
  <si>
    <t>no cap</t>
  </si>
  <si>
    <t>cap</t>
  </si>
  <si>
    <t>Tariff result. IPs without volumes</t>
  </si>
  <si>
    <t>max tariff</t>
  </si>
  <si>
    <t>Cap VG + VGK</t>
  </si>
  <si>
    <t>2025 (actual)</t>
  </si>
  <si>
    <t>2026 (actual)</t>
  </si>
  <si>
    <t>2027 (actual)</t>
  </si>
  <si>
    <t>CWD 2025_V1</t>
  </si>
  <si>
    <t>CWD 2026_V1</t>
  </si>
  <si>
    <t>CWD 2027_V1</t>
  </si>
  <si>
    <t>*domestic and storage</t>
  </si>
  <si>
    <t>Parameter Configuration - TSO costs</t>
  </si>
  <si>
    <t>KPIs &amp; ratios</t>
  </si>
  <si>
    <t>YES</t>
  </si>
  <si>
    <t>NO</t>
  </si>
  <si>
    <t>Forecasted Contracted Capacity</t>
  </si>
  <si>
    <t>Utilized Capacity (allocations)</t>
  </si>
  <si>
    <t>Tariff Details &amp; Overview</t>
  </si>
  <si>
    <t>Parameter Configuration - Commodity</t>
  </si>
  <si>
    <t>Cap.Type</t>
  </si>
  <si>
    <r>
      <t xml:space="preserve">--&gt; Note: If the </t>
    </r>
    <r>
      <rPr>
        <b/>
        <i/>
        <sz val="11"/>
        <color theme="1"/>
        <rFont val="Calibri"/>
        <family val="2"/>
        <scheme val="minor"/>
      </rPr>
      <t>Cap.CAA Index</t>
    </r>
    <r>
      <rPr>
        <sz val="11"/>
        <color theme="1"/>
        <rFont val="Calibri"/>
        <family val="2"/>
        <scheme val="minor"/>
      </rPr>
      <t xml:space="preserve"> exceeds 10% please manually alter the percantage of the Cap VG + VGK for the respective year.</t>
    </r>
  </si>
  <si>
    <t xml:space="preserve">Pease select (YES/NO):  </t>
  </si>
  <si>
    <t>CRRC* (EUR/MWh)</t>
  </si>
  <si>
    <t xml:space="preserve">  Data Input</t>
  </si>
  <si>
    <t xml:space="preserve">  Tariff simulation</t>
  </si>
  <si>
    <t>Var.1/Base</t>
  </si>
  <si>
    <r>
      <t xml:space="preserve">Simplified Tariff Tool | </t>
    </r>
    <r>
      <rPr>
        <b/>
        <sz val="16"/>
        <color theme="0"/>
        <rFont val="Calibri"/>
        <family val="2"/>
        <scheme val="minor"/>
      </rPr>
      <t>Tariff Periods 2025 - 2027</t>
    </r>
  </si>
  <si>
    <t>Parameter-Variation (cost &amp; capacity)</t>
  </si>
  <si>
    <t>Data Input for Parameter-Variation</t>
  </si>
  <si>
    <r>
      <t>Data Input from Sheet "</t>
    </r>
    <r>
      <rPr>
        <b/>
        <i/>
        <sz val="10"/>
        <color rgb="FF0088B8"/>
        <rFont val="Calibri"/>
        <family val="2"/>
        <scheme val="minor"/>
      </rPr>
      <t>Tariff simulation</t>
    </r>
    <r>
      <rPr>
        <b/>
        <sz val="10"/>
        <color rgb="FF0088B8"/>
        <rFont val="Calibri"/>
        <family val="2"/>
        <scheme val="minor"/>
      </rPr>
      <t>"</t>
    </r>
  </si>
  <si>
    <t>CWD 2027*</t>
  </si>
  <si>
    <t>Base-Case (consultation)*</t>
  </si>
  <si>
    <t xml:space="preserve"> Disclaimer</t>
  </si>
  <si>
    <r>
      <t xml:space="preserve">* </t>
    </r>
    <r>
      <rPr>
        <b/>
        <u/>
        <sz val="11"/>
        <color theme="1"/>
        <rFont val="Calibri"/>
        <family val="2"/>
        <scheme val="minor"/>
      </rPr>
      <t>Important Note:</t>
    </r>
    <r>
      <rPr>
        <b/>
        <sz val="11"/>
        <color theme="1"/>
        <rFont val="Calibri"/>
        <family val="2"/>
        <scheme val="minor"/>
      </rPr>
      <t xml:space="preserve"> </t>
    </r>
    <r>
      <rPr>
        <b/>
        <sz val="11"/>
        <color rgb="FF0066A9"/>
        <rFont val="Calibri"/>
        <family val="2"/>
        <scheme val="minor"/>
      </rPr>
      <t>CWD 2027</t>
    </r>
    <r>
      <rPr>
        <b/>
        <sz val="11"/>
        <color theme="1"/>
        <rFont val="Calibri"/>
        <family val="2"/>
        <scheme val="minor"/>
      </rPr>
      <t xml:space="preserve"> </t>
    </r>
    <r>
      <rPr>
        <sz val="11"/>
        <color theme="1"/>
        <rFont val="Calibri"/>
        <family val="2"/>
        <scheme val="minor"/>
      </rPr>
      <t>is only an</t>
    </r>
    <r>
      <rPr>
        <b/>
        <sz val="11"/>
        <color theme="1"/>
        <rFont val="Calibri"/>
        <family val="2"/>
        <scheme val="minor"/>
      </rPr>
      <t xml:space="preserve"> </t>
    </r>
    <r>
      <rPr>
        <b/>
        <sz val="11"/>
        <color rgb="FF0066A9"/>
        <rFont val="Calibri"/>
        <family val="2"/>
        <scheme val="minor"/>
      </rPr>
      <t xml:space="preserve">indicative cost projection for comparison purposes </t>
    </r>
    <r>
      <rPr>
        <sz val="11"/>
        <color theme="1"/>
        <rFont val="Calibri"/>
        <family val="2"/>
        <scheme val="minor"/>
      </rPr>
      <t>based on the 2026-values and is therefore subject to future changes in costs and volumes.</t>
    </r>
  </si>
  <si>
    <t>The Simplified Tariff Tool-calculator was created with the greatest care. E-Control assumes no liability or guarantee for the accuracy and completeness of the content.  The Simplified Tariff Tool calculator is provided for illustrative purposes only, and the information obtained by using the calculator is non-binding. 
The calculator focuses only on the capacity side of the tariff calculation, the commodity side is not considered in the Simplified Tariff Tool calculator.  Results may vary depending on the accuracy and comprehensiveness of the information provided to the calculator.</t>
  </si>
  <si>
    <t>Tariff Ordinance</t>
  </si>
  <si>
    <r>
      <t xml:space="preserve">Parameter-Variation
</t>
    </r>
    <r>
      <rPr>
        <sz val="10"/>
        <color theme="0"/>
        <rFont val="Calibri"/>
        <family val="2"/>
        <scheme val="minor"/>
      </rPr>
      <t>(cost &amp; capacity)</t>
    </r>
  </si>
  <si>
    <r>
      <rPr>
        <sz val="10"/>
        <color theme="0"/>
        <rFont val="Times New Roman"/>
        <family val="1"/>
      </rPr>
      <t>Δ</t>
    </r>
    <r>
      <rPr>
        <sz val="9"/>
        <color theme="0"/>
        <rFont val="Times New Roman"/>
        <family val="1"/>
      </rPr>
      <t xml:space="preserve"> </t>
    </r>
    <r>
      <rPr>
        <i/>
        <sz val="9"/>
        <color theme="0"/>
        <rFont val="Calibri"/>
        <family val="2"/>
        <scheme val="minor"/>
      </rPr>
      <t>2026 Ord.</t>
    </r>
  </si>
  <si>
    <r>
      <rPr>
        <sz val="10"/>
        <color theme="0"/>
        <rFont val="Times New Roman"/>
        <family val="1"/>
      </rPr>
      <t>Δ</t>
    </r>
    <r>
      <rPr>
        <sz val="9"/>
        <color theme="0"/>
        <rFont val="Times New Roman"/>
        <family val="1"/>
      </rPr>
      <t xml:space="preserve"> </t>
    </r>
    <r>
      <rPr>
        <i/>
        <sz val="9"/>
        <color theme="0"/>
        <rFont val="Calibri"/>
        <family val="2"/>
        <scheme val="minor"/>
      </rPr>
      <t>2025 Ord.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</si>
</sst>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6" formatCode="#,##0\ &quot;€&quot;;[Red]\-#,##0\ &quot;€&quot;"/>
    <numFmt numFmtId="43" formatCode="_-* #,##0.00_-;\-* #,##0.00_-;_-* &quot;-&quot;??_-;_-@_-"/>
    <numFmt numFmtId="164" formatCode="_-&quot;€&quot;\ * #,##0.00_-;\-&quot;€&quot;\ * #,##0.00_-;_-&quot;€&quot;\ * &quot;-&quot;??_-;_-@_-"/>
    <numFmt numFmtId="165" formatCode="_-* #,##0.00\ _€_-;\-* #,##0.00\ _€_-;_-* &quot;-&quot;??\ _€_-;_-@_-"/>
    <numFmt numFmtId="166" formatCode="#,##0.0;\(#,##0.0\);\-"/>
    <numFmt numFmtId="167" formatCode="#,##0.0"/>
    <numFmt numFmtId="168" formatCode="_-* #,##0_-;\-* #,##0_-;_-* &quot;-&quot;??_-;_-@_-"/>
    <numFmt numFmtId="169" formatCode="0.000"/>
    <numFmt numFmtId="170" formatCode="0.0%"/>
    <numFmt numFmtId="171" formatCode="#,##0\ _€"/>
    <numFmt numFmtId="172" formatCode="0.00000"/>
    <numFmt numFmtId="173" formatCode="###,###,##0.00"/>
    <numFmt numFmtId="174" formatCode="_-* #,##0.00\ [$€]_-;\-* #,##0.00\ [$€]_-;_-* &quot;-&quot;??\ [$€]_-;_-@_-"/>
    <numFmt numFmtId="175" formatCode="###,###,##0"/>
    <numFmt numFmtId="176" formatCode="###,###,##0.000"/>
    <numFmt numFmtId="177" formatCode="#,##0.0000"/>
    <numFmt numFmtId="178" formatCode="0.0000"/>
    <numFmt numFmtId="179" formatCode="_-* #,##0\ _€_-;\-* #,##0\ _€_-;_-* &quot;-&quot;??\ _€_-;_-@_-"/>
    <numFmt numFmtId="180" formatCode="#,##0.000"/>
    <numFmt numFmtId="181" formatCode="0.0"/>
    <numFmt numFmtId="182" formatCode="#,##0.0\ &quot;MEUR&quot;"/>
    <numFmt numFmtId="183" formatCode="0.0000000000"/>
    <numFmt numFmtId="184" formatCode="#,##0.00000"/>
  </numFmts>
  <fonts count="109">
    <font>
      <sz val="11"/>
      <color theme="1"/>
      <name val="Calibri"/>
      <family val="2"/>
      <scheme val="minor"/>
    </font>
    <font>
      <sz val="11"/>
      <color theme="1"/>
      <name val="Calibri"/>
      <family val="2"/>
      <scheme val="minor"/>
    </font>
    <font>
      <b/>
      <sz val="11"/>
      <color rgb="FFFA7D00"/>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b/>
      <sz val="11"/>
      <name val="Calibri"/>
      <family val="2"/>
      <scheme val="minor"/>
    </font>
    <font>
      <b/>
      <sz val="11"/>
      <color rgb="FFFF0000"/>
      <name val="Calibri"/>
      <family val="2"/>
      <scheme val="minor"/>
    </font>
    <font>
      <sz val="11"/>
      <name val="Calibri"/>
      <family val="2"/>
      <scheme val="minor"/>
    </font>
    <font>
      <sz val="10"/>
      <color theme="1"/>
      <name val="Arial"/>
      <family val="2"/>
    </font>
    <font>
      <i/>
      <sz val="11"/>
      <color theme="1"/>
      <name val="Calibri"/>
      <family val="2"/>
      <scheme val="minor"/>
    </font>
    <font>
      <i/>
      <sz val="10"/>
      <color theme="1"/>
      <name val="Calibri"/>
      <family val="2"/>
      <scheme val="minor"/>
    </font>
    <font>
      <sz val="11"/>
      <color theme="0" tint="-0.249977111117893"/>
      <name val="Calibri"/>
      <family val="2"/>
      <scheme val="minor"/>
    </font>
    <font>
      <i/>
      <sz val="10"/>
      <name val="Calibri"/>
      <family val="2"/>
      <scheme val="minor"/>
    </font>
    <font>
      <b/>
      <sz val="11"/>
      <color theme="0" tint="-0.499984740745262"/>
      <name val="Calibri"/>
      <family val="2"/>
      <scheme val="minor"/>
    </font>
    <font>
      <sz val="11"/>
      <color theme="0" tint="-0.499984740745262"/>
      <name val="Calibri"/>
      <family val="2"/>
      <scheme val="minor"/>
    </font>
    <font>
      <sz val="10"/>
      <name val="Arial"/>
      <family val="2"/>
    </font>
    <font>
      <i/>
      <sz val="11"/>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9"/>
      <color indexed="8"/>
      <name val="Arial"/>
      <family val="2"/>
    </font>
    <font>
      <b/>
      <sz val="14"/>
      <color rgb="FFFFFFFF"/>
      <name val="Calibri"/>
      <family val="2"/>
    </font>
    <font>
      <b/>
      <sz val="12"/>
      <color rgb="FFFFFFFF"/>
      <name val="Calibri"/>
      <family val="2"/>
    </font>
    <font>
      <b/>
      <sz val="12"/>
      <name val="Calibri"/>
      <family val="2"/>
    </font>
    <font>
      <sz val="12"/>
      <name val="Calibri"/>
      <family val="2"/>
      <scheme val="minor"/>
    </font>
    <font>
      <i/>
      <sz val="11"/>
      <color indexed="23"/>
      <name val="Calibri"/>
      <family val="2"/>
    </font>
    <font>
      <sz val="11"/>
      <color indexed="17"/>
      <name val="Calibri"/>
      <family val="2"/>
    </font>
    <font>
      <b/>
      <sz val="10"/>
      <color indexed="8"/>
      <name val="Arial"/>
      <family val="2"/>
    </font>
    <font>
      <b/>
      <sz val="15"/>
      <color indexed="56"/>
      <name val="Calibri"/>
      <family val="2"/>
    </font>
    <font>
      <b/>
      <sz val="13"/>
      <color indexed="56"/>
      <name val="Calibri"/>
      <family val="2"/>
    </font>
    <font>
      <b/>
      <sz val="11"/>
      <color indexed="56"/>
      <name val="Calibri"/>
      <family val="2"/>
    </font>
    <font>
      <b/>
      <sz val="9"/>
      <color indexed="8"/>
      <name val="Arial"/>
      <family val="2"/>
    </font>
    <font>
      <u/>
      <sz val="11"/>
      <color theme="10"/>
      <name val="Arial"/>
      <family val="2"/>
    </font>
    <font>
      <sz val="11"/>
      <color indexed="62"/>
      <name val="Calibri"/>
      <family val="2"/>
    </font>
    <font>
      <sz val="11"/>
      <color indexed="52"/>
      <name val="Calibri"/>
      <family val="2"/>
    </font>
    <font>
      <sz val="12"/>
      <color indexed="8"/>
      <name val="Calibri"/>
      <family val="2"/>
    </font>
    <font>
      <b/>
      <sz val="11"/>
      <color indexed="63"/>
      <name val="Calibri"/>
      <family val="2"/>
    </font>
    <font>
      <sz val="10"/>
      <name val="MS Sans Serif"/>
      <family val="2"/>
    </font>
    <font>
      <sz val="10"/>
      <color theme="1"/>
      <name val="Verdana"/>
      <family val="2"/>
    </font>
    <font>
      <b/>
      <sz val="18"/>
      <color indexed="56"/>
      <name val="Cambria"/>
      <family val="2"/>
    </font>
    <font>
      <b/>
      <sz val="11"/>
      <color indexed="8"/>
      <name val="Calibri"/>
      <family val="2"/>
    </font>
    <font>
      <sz val="10"/>
      <name val="Courier"/>
      <family val="3"/>
    </font>
    <font>
      <sz val="11"/>
      <color indexed="10"/>
      <name val="Calibri"/>
      <family val="2"/>
    </font>
    <font>
      <i/>
      <sz val="11"/>
      <color theme="0" tint="-0.499984740745262"/>
      <name val="Calibri"/>
      <family val="2"/>
      <scheme val="minor"/>
    </font>
    <font>
      <sz val="8"/>
      <name val="Calibri"/>
      <family val="2"/>
      <scheme val="minor"/>
    </font>
    <font>
      <b/>
      <sz val="14"/>
      <color theme="0"/>
      <name val="Calibri"/>
      <family val="2"/>
      <scheme val="minor"/>
    </font>
    <font>
      <sz val="10"/>
      <color theme="1"/>
      <name val="Calibri"/>
      <family val="2"/>
      <scheme val="minor"/>
    </font>
    <font>
      <b/>
      <sz val="10"/>
      <name val="Calibri"/>
      <family val="2"/>
      <scheme val="minor"/>
    </font>
    <font>
      <sz val="10"/>
      <name val="Calibri"/>
      <family val="2"/>
      <scheme val="minor"/>
    </font>
    <font>
      <b/>
      <sz val="9"/>
      <name val="Calibri"/>
      <family val="2"/>
      <scheme val="minor"/>
    </font>
    <font>
      <sz val="9"/>
      <name val="Calibri"/>
      <family val="2"/>
      <scheme val="minor"/>
    </font>
    <font>
      <b/>
      <sz val="10"/>
      <color theme="0"/>
      <name val="Calibri"/>
      <family val="2"/>
      <scheme val="minor"/>
    </font>
    <font>
      <sz val="10"/>
      <color theme="0"/>
      <name val="Calibri"/>
      <family val="2"/>
      <scheme val="minor"/>
    </font>
    <font>
      <sz val="10"/>
      <color rgb="FFFF0000"/>
      <name val="Calibri"/>
      <family val="2"/>
      <scheme val="minor"/>
    </font>
    <font>
      <sz val="10"/>
      <color theme="4"/>
      <name val="Calibri"/>
      <family val="2"/>
      <scheme val="minor"/>
    </font>
    <font>
      <i/>
      <sz val="8"/>
      <color theme="1"/>
      <name val="Calibri"/>
      <family val="2"/>
      <scheme val="minor"/>
    </font>
    <font>
      <i/>
      <sz val="8"/>
      <color theme="0" tint="-0.499984740745262"/>
      <name val="Calibri"/>
      <family val="2"/>
      <scheme val="minor"/>
    </font>
    <font>
      <sz val="10"/>
      <color theme="0" tint="-0.249977111117893"/>
      <name val="Calibri"/>
      <family val="2"/>
      <scheme val="minor"/>
    </font>
    <font>
      <i/>
      <sz val="11"/>
      <color theme="0" tint="-0.249977111117893"/>
      <name val="Calibri"/>
      <family val="2"/>
      <scheme val="minor"/>
    </font>
    <font>
      <i/>
      <sz val="11"/>
      <color theme="9"/>
      <name val="Calibri"/>
      <family val="2"/>
      <scheme val="minor"/>
    </font>
    <font>
      <i/>
      <sz val="10"/>
      <color theme="0" tint="-0.499984740745262"/>
      <name val="Calibri"/>
      <family val="2"/>
      <scheme val="minor"/>
    </font>
    <font>
      <b/>
      <sz val="11"/>
      <color theme="0" tint="-0.249977111117893"/>
      <name val="Calibri"/>
      <family val="2"/>
      <scheme val="minor"/>
    </font>
    <font>
      <sz val="11"/>
      <color theme="0" tint="-0.14999847407452621"/>
      <name val="Calibri"/>
      <family val="2"/>
      <scheme val="minor"/>
    </font>
    <font>
      <b/>
      <sz val="11"/>
      <color theme="0" tint="-0.14999847407452621"/>
      <name val="Calibri"/>
      <family val="2"/>
      <scheme val="minor"/>
    </font>
    <font>
      <sz val="10"/>
      <color theme="0" tint="-0.14999847407452621"/>
      <name val="Calibri"/>
      <family val="2"/>
      <scheme val="minor"/>
    </font>
    <font>
      <sz val="8"/>
      <color theme="0" tint="-0.499984740745262"/>
      <name val="Calibri"/>
      <family val="2"/>
      <scheme val="minor"/>
    </font>
    <font>
      <i/>
      <sz val="8"/>
      <name val="Calibri"/>
      <family val="2"/>
      <scheme val="minor"/>
    </font>
    <font>
      <u/>
      <sz val="11"/>
      <name val="Calibri"/>
      <family val="2"/>
      <scheme val="minor"/>
    </font>
    <font>
      <sz val="8"/>
      <color rgb="FF00B0F0"/>
      <name val="Calibri"/>
      <family val="2"/>
      <scheme val="minor"/>
    </font>
    <font>
      <sz val="10"/>
      <color rgb="FF003366"/>
      <name val="Trebuchet MS"/>
      <family val="2"/>
    </font>
    <font>
      <sz val="6"/>
      <color theme="0" tint="-0.499984740745262"/>
      <name val="Calibri"/>
      <family val="2"/>
      <scheme val="minor"/>
    </font>
    <font>
      <i/>
      <sz val="11"/>
      <color rgb="FF00B0F0"/>
      <name val="Calibri"/>
      <family val="2"/>
      <scheme val="minor"/>
    </font>
    <font>
      <sz val="11"/>
      <color rgb="FF00B0F0"/>
      <name val="Calibri"/>
      <family val="2"/>
      <scheme val="minor"/>
    </font>
    <font>
      <i/>
      <sz val="11"/>
      <color theme="0"/>
      <name val="Calibri"/>
      <family val="2"/>
      <scheme val="minor"/>
    </font>
    <font>
      <u/>
      <sz val="11"/>
      <color theme="0" tint="-0.249977111117893"/>
      <name val="Calibri"/>
      <family val="2"/>
      <scheme val="minor"/>
    </font>
    <font>
      <sz val="11"/>
      <color theme="1"/>
      <name val="PP Pangram Sans Medium"/>
    </font>
    <font>
      <sz val="11"/>
      <color theme="0"/>
      <name val="PP Pangram Sans Medium"/>
    </font>
    <font>
      <b/>
      <sz val="11"/>
      <color theme="0"/>
      <name val="PP Pangram Sans Medium"/>
    </font>
    <font>
      <i/>
      <sz val="11"/>
      <color theme="1"/>
      <name val="PP Pangram Sans Medium"/>
    </font>
    <font>
      <b/>
      <u/>
      <sz val="11"/>
      <name val="Calibri"/>
      <family val="2"/>
      <scheme val="minor"/>
    </font>
    <font>
      <sz val="11"/>
      <color theme="0" tint="-4.9989318521683403E-2"/>
      <name val="Calibri"/>
      <family val="2"/>
      <scheme val="minor"/>
    </font>
    <font>
      <sz val="11"/>
      <color theme="3"/>
      <name val="Calibri"/>
      <family val="2"/>
      <scheme val="minor"/>
    </font>
    <font>
      <sz val="11"/>
      <name val="PP Pangram Sans Medium"/>
    </font>
    <font>
      <sz val="11"/>
      <color rgb="FF0066A9"/>
      <name val="Calibri"/>
      <family val="2"/>
      <scheme val="minor"/>
    </font>
    <font>
      <b/>
      <sz val="18"/>
      <color theme="0"/>
      <name val="Calibri"/>
      <family val="2"/>
      <scheme val="minor"/>
    </font>
    <font>
      <b/>
      <sz val="11"/>
      <color rgb="FF0066A9"/>
      <name val="Calibri"/>
      <family val="2"/>
      <scheme val="minor"/>
    </font>
    <font>
      <b/>
      <sz val="12"/>
      <color theme="0"/>
      <name val="Calibri"/>
      <family val="2"/>
      <scheme val="minor"/>
    </font>
    <font>
      <b/>
      <i/>
      <sz val="11"/>
      <color theme="1"/>
      <name val="Calibri"/>
      <family val="2"/>
      <scheme val="minor"/>
    </font>
    <font>
      <sz val="8"/>
      <color theme="1"/>
      <name val="Calibri"/>
      <family val="2"/>
      <scheme val="minor"/>
    </font>
    <font>
      <sz val="9"/>
      <color theme="1"/>
      <name val="Calibri"/>
      <family val="2"/>
      <scheme val="minor"/>
    </font>
    <font>
      <i/>
      <sz val="9"/>
      <color theme="0"/>
      <name val="Calibri"/>
      <family val="2"/>
      <scheme val="minor"/>
    </font>
    <font>
      <b/>
      <sz val="22"/>
      <color theme="0"/>
      <name val="Calibri"/>
      <family val="2"/>
      <scheme val="minor"/>
    </font>
    <font>
      <b/>
      <sz val="16"/>
      <color theme="0"/>
      <name val="Calibri"/>
      <family val="2"/>
      <scheme val="minor"/>
    </font>
    <font>
      <b/>
      <sz val="11"/>
      <color rgb="FF0088B8"/>
      <name val="Calibri"/>
      <family val="2"/>
      <scheme val="minor"/>
    </font>
    <font>
      <b/>
      <sz val="10"/>
      <color rgb="FF0088B8"/>
      <name val="Calibri"/>
      <family val="2"/>
      <scheme val="minor"/>
    </font>
    <font>
      <sz val="7"/>
      <color theme="1"/>
      <name val="Calibri"/>
      <family val="2"/>
      <scheme val="minor"/>
    </font>
    <font>
      <b/>
      <i/>
      <sz val="10"/>
      <color rgb="FF0088B8"/>
      <name val="Calibri"/>
      <family val="2"/>
      <scheme val="minor"/>
    </font>
    <font>
      <b/>
      <i/>
      <sz val="11"/>
      <color theme="1" tint="0.499984740745262"/>
      <name val="Calibri"/>
      <family val="2"/>
      <scheme val="minor"/>
    </font>
    <font>
      <i/>
      <sz val="11"/>
      <color theme="1" tint="0.499984740745262"/>
      <name val="Calibri"/>
      <family val="2"/>
      <scheme val="minor"/>
    </font>
    <font>
      <b/>
      <u/>
      <sz val="11"/>
      <color theme="1"/>
      <name val="Calibri"/>
      <family val="2"/>
      <scheme val="minor"/>
    </font>
    <font>
      <b/>
      <sz val="11"/>
      <color theme="1" tint="0.499984740745262"/>
      <name val="Calibri"/>
      <family val="2"/>
      <scheme val="minor"/>
    </font>
    <font>
      <b/>
      <sz val="10"/>
      <color theme="1"/>
      <name val="Calibri"/>
      <family val="2"/>
      <scheme val="minor"/>
    </font>
    <font>
      <sz val="9"/>
      <color theme="0"/>
      <name val="Times New Roman"/>
      <family val="1"/>
    </font>
    <font>
      <i/>
      <sz val="9"/>
      <color theme="0"/>
      <name val="Calibri"/>
      <family val="1"/>
      <scheme val="minor"/>
    </font>
    <font>
      <sz val="10"/>
      <color theme="0"/>
      <name val="Times New Roman"/>
      <family val="1"/>
    </font>
  </fonts>
  <fills count="63">
    <fill>
      <patternFill patternType="none"/>
    </fill>
    <fill>
      <patternFill patternType="gray125"/>
    </fill>
    <fill>
      <patternFill patternType="solid">
        <fgColor rgb="FFF2F2F2"/>
      </patternFill>
    </fill>
    <fill>
      <patternFill patternType="solid">
        <fgColor theme="5" tint="0.39997558519241921"/>
        <bgColor indexed="65"/>
      </patternFill>
    </fill>
    <fill>
      <patternFill patternType="solid">
        <fgColor theme="1"/>
        <bgColor indexed="64"/>
      </patternFill>
    </fill>
    <fill>
      <patternFill patternType="solid">
        <fgColor rgb="FF004C66"/>
        <bgColor indexed="64"/>
      </patternFill>
    </fill>
    <fill>
      <patternFill patternType="solid">
        <fgColor theme="6" tint="0.59999389629810485"/>
        <bgColor indexed="64"/>
      </patternFill>
    </fill>
    <fill>
      <patternFill patternType="solid">
        <fgColor theme="0"/>
        <bgColor indexed="64"/>
      </patternFill>
    </fill>
    <fill>
      <patternFill patternType="solid">
        <fgColor rgb="FF007E69"/>
        <bgColor indexed="64"/>
      </patternFill>
    </fill>
    <fill>
      <patternFill patternType="solid">
        <fgColor theme="4"/>
        <bgColor indexed="64"/>
      </patternFill>
    </fill>
    <fill>
      <patternFill patternType="solid">
        <fgColor theme="0" tint="-0.1499984740745262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rgb="FFBFBFBF"/>
        <bgColor indexed="64"/>
      </patternFill>
    </fill>
    <fill>
      <patternFill patternType="solid">
        <fgColor rgb="FFC6C6C6"/>
        <bgColor indexed="64"/>
      </patternFill>
    </fill>
    <fill>
      <patternFill patternType="solid">
        <fgColor indexed="26"/>
      </patternFill>
    </fill>
    <fill>
      <patternFill patternType="solid">
        <fgColor theme="0" tint="0.59996337778862885"/>
        <bgColor indexed="64"/>
      </patternFill>
    </fill>
    <fill>
      <patternFill patternType="solid">
        <fgColor rgb="FF2A3F82"/>
        <bgColor indexed="64"/>
      </patternFill>
    </fill>
    <fill>
      <patternFill patternType="solid">
        <fgColor theme="6" tint="0.79998168889431442"/>
        <bgColor indexed="64"/>
      </patternFill>
    </fill>
    <fill>
      <patternFill patternType="solid">
        <fgColor theme="7" tint="0.59999389629810485"/>
        <bgColor indexed="64"/>
      </patternFill>
    </fill>
    <fill>
      <patternFill patternType="solid">
        <fgColor rgb="FFFFFF99"/>
        <bgColor indexed="64"/>
      </patternFill>
    </fill>
    <fill>
      <patternFill patternType="solid">
        <fgColor rgb="FF92D050"/>
        <bgColor indexed="64"/>
      </patternFill>
    </fill>
    <fill>
      <patternFill patternType="solid">
        <fgColor theme="0" tint="-4.9989318521683403E-2"/>
        <bgColor indexed="64"/>
      </patternFill>
    </fill>
    <fill>
      <patternFill patternType="solid">
        <fgColor theme="8"/>
        <bgColor indexed="64"/>
      </patternFill>
    </fill>
    <fill>
      <patternFill patternType="solid">
        <fgColor theme="5" tint="0.59999389629810485"/>
        <bgColor indexed="64"/>
      </patternFill>
    </fill>
    <fill>
      <patternFill patternType="solid">
        <fgColor rgb="FFFFFF00"/>
        <bgColor indexed="64"/>
      </patternFill>
    </fill>
    <fill>
      <patternFill patternType="solid">
        <fgColor theme="4" tint="0.79998168889431442"/>
        <bgColor indexed="64"/>
      </patternFill>
    </fill>
    <fill>
      <patternFill patternType="solid">
        <fgColor theme="0" tint="-0.499984740745262"/>
        <bgColor indexed="64"/>
      </patternFill>
    </fill>
    <fill>
      <patternFill patternType="solid">
        <fgColor rgb="FF0A4669"/>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5" tint="0.39997558519241921"/>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rgb="FFFE6D73"/>
        <bgColor indexed="64"/>
      </patternFill>
    </fill>
    <fill>
      <patternFill patternType="solid">
        <fgColor rgb="FFDCE6F2"/>
        <bgColor indexed="64"/>
      </patternFill>
    </fill>
    <fill>
      <patternFill patternType="solid">
        <fgColor rgb="FF00B0F0"/>
        <bgColor indexed="64"/>
      </patternFill>
    </fill>
    <fill>
      <patternFill patternType="solid">
        <fgColor theme="9"/>
        <bgColor indexed="64"/>
      </patternFill>
    </fill>
    <fill>
      <patternFill patternType="solid">
        <fgColor rgb="FFBACEE5"/>
        <bgColor indexed="64"/>
      </patternFill>
    </fill>
    <fill>
      <patternFill patternType="solid">
        <fgColor rgb="FF0066A9"/>
        <bgColor indexed="64"/>
      </patternFill>
    </fill>
    <fill>
      <patternFill patternType="solid">
        <fgColor rgb="FFC3E49C"/>
        <bgColor indexed="64"/>
      </patternFill>
    </fill>
    <fill>
      <patternFill patternType="solid">
        <fgColor rgb="FFA7E8FF"/>
        <bgColor indexed="64"/>
      </patternFill>
    </fill>
    <fill>
      <patternFill patternType="solid">
        <fgColor rgb="FFC5F0FF"/>
        <bgColor indexed="64"/>
      </patternFill>
    </fill>
    <fill>
      <patternFill patternType="solid">
        <fgColor rgb="FFF7F7F7"/>
        <bgColor indexed="64"/>
      </patternFill>
    </fill>
    <fill>
      <patternFill patternType="solid">
        <fgColor rgb="FFF5F5F5"/>
        <bgColor indexed="64"/>
      </patternFill>
    </fill>
  </fills>
  <borders count="202">
    <border>
      <left/>
      <right/>
      <top/>
      <bottom/>
      <diagonal/>
    </border>
    <border>
      <left style="thin">
        <color rgb="FF7F7F7F"/>
      </left>
      <right style="thin">
        <color rgb="FF7F7F7F"/>
      </right>
      <top style="thin">
        <color rgb="FF7F7F7F"/>
      </top>
      <bottom style="thin">
        <color rgb="FF7F7F7F"/>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indexed="64"/>
      </right>
      <top style="thin">
        <color auto="1"/>
      </top>
      <bottom/>
      <diagonal/>
    </border>
    <border>
      <left style="thin">
        <color indexed="64"/>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auto="1"/>
      </left>
      <right style="thin">
        <color auto="1"/>
      </right>
      <top style="medium">
        <color auto="1"/>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style="medium">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right style="thin">
        <color rgb="FF0A4669"/>
      </right>
      <top style="thin">
        <color rgb="FF0A4669"/>
      </top>
      <bottom style="thin">
        <color rgb="FF0A4669"/>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rgb="FF0A4669"/>
      </left>
      <right style="thin">
        <color rgb="FF0A4669"/>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rgb="FF0A4669"/>
      </left>
      <right style="thin">
        <color rgb="FF0A4669"/>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auto="1"/>
      </right>
      <top style="medium">
        <color auto="1"/>
      </top>
      <bottom/>
      <diagonal/>
    </border>
    <border>
      <left style="thin">
        <color indexed="64"/>
      </left>
      <right style="thin">
        <color indexed="64"/>
      </right>
      <top/>
      <bottom/>
      <diagonal/>
    </border>
    <border>
      <left style="thin">
        <color theme="0"/>
      </left>
      <right style="thin">
        <color theme="0"/>
      </right>
      <top style="thin">
        <color theme="0"/>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thin">
        <color rgb="FF0A4669"/>
      </left>
      <right style="thin">
        <color rgb="FF0A4669"/>
      </right>
      <top/>
      <bottom/>
      <diagonal/>
    </border>
    <border>
      <left style="thin">
        <color indexed="64"/>
      </left>
      <right style="thin">
        <color indexed="64"/>
      </right>
      <top style="thin">
        <color indexed="64"/>
      </top>
      <bottom style="thin">
        <color theme="0"/>
      </bottom>
      <diagonal/>
    </border>
    <border>
      <left style="thin">
        <color indexed="64"/>
      </left>
      <right style="thin">
        <color indexed="64"/>
      </right>
      <top style="thin">
        <color theme="0"/>
      </top>
      <bottom style="thin">
        <color theme="0"/>
      </bottom>
      <diagonal/>
    </border>
    <border>
      <left style="thin">
        <color indexed="64"/>
      </left>
      <right style="thin">
        <color indexed="64"/>
      </right>
      <top style="thin">
        <color theme="0"/>
      </top>
      <bottom style="thin">
        <color indexed="64"/>
      </bottom>
      <diagonal/>
    </border>
    <border>
      <left/>
      <right style="medium">
        <color indexed="64"/>
      </right>
      <top style="medium">
        <color indexed="64"/>
      </top>
      <bottom style="medium">
        <color indexed="64"/>
      </bottom>
      <diagonal/>
    </border>
    <border>
      <left style="thin">
        <color theme="0"/>
      </left>
      <right style="thin">
        <color theme="0"/>
      </right>
      <top style="thin">
        <color theme="0"/>
      </top>
      <bottom style="thin">
        <color theme="0"/>
      </bottom>
      <diagonal/>
    </border>
    <border>
      <left style="thin">
        <color rgb="FF0A4669"/>
      </left>
      <right style="thin">
        <color rgb="FF0A4669"/>
      </right>
      <top style="thin">
        <color indexed="64"/>
      </top>
      <bottom style="thin">
        <color indexed="64"/>
      </bottom>
      <diagonal/>
    </border>
    <border>
      <left style="thin">
        <color indexed="64"/>
      </left>
      <right style="thin">
        <color indexed="64"/>
      </right>
      <top style="dotted">
        <color theme="1"/>
      </top>
      <bottom style="dotted">
        <color theme="1"/>
      </bottom>
      <diagonal/>
    </border>
    <border>
      <left style="thin">
        <color indexed="64"/>
      </left>
      <right style="thin">
        <color indexed="64"/>
      </right>
      <top style="dotted">
        <color theme="1"/>
      </top>
      <bottom style="thin">
        <color indexed="64"/>
      </bottom>
      <diagonal/>
    </border>
    <border>
      <left style="thin">
        <color indexed="64"/>
      </left>
      <right style="thin">
        <color indexed="64"/>
      </right>
      <top style="thin">
        <color indexed="64"/>
      </top>
      <bottom style="dotted">
        <color theme="0" tint="-0.24994659260841701"/>
      </bottom>
      <diagonal/>
    </border>
    <border>
      <left style="thin">
        <color indexed="64"/>
      </left>
      <right style="thin">
        <color indexed="64"/>
      </right>
      <top style="dotted">
        <color theme="0" tint="-0.24994659260841701"/>
      </top>
      <bottom style="dotted">
        <color theme="0" tint="-0.24994659260841701"/>
      </bottom>
      <diagonal/>
    </border>
    <border>
      <left style="thin">
        <color indexed="64"/>
      </left>
      <right style="thin">
        <color indexed="64"/>
      </right>
      <top style="dotted">
        <color theme="0" tint="-0.24994659260841701"/>
      </top>
      <bottom style="thin">
        <color indexed="64"/>
      </bottom>
      <diagonal/>
    </border>
    <border>
      <left style="thin">
        <color rgb="FF0A4669"/>
      </left>
      <right/>
      <top style="thin">
        <color indexed="64"/>
      </top>
      <bottom style="dotted">
        <color theme="0" tint="-0.24994659260841701"/>
      </bottom>
      <diagonal/>
    </border>
    <border>
      <left/>
      <right/>
      <top style="thin">
        <color indexed="64"/>
      </top>
      <bottom style="dotted">
        <color theme="0" tint="-0.24994659260841701"/>
      </bottom>
      <diagonal/>
    </border>
    <border>
      <left/>
      <right style="thin">
        <color indexed="64"/>
      </right>
      <top style="thin">
        <color indexed="64"/>
      </top>
      <bottom style="dotted">
        <color theme="0" tint="-0.24994659260841701"/>
      </bottom>
      <diagonal/>
    </border>
    <border>
      <left/>
      <right/>
      <top style="dotted">
        <color theme="0" tint="-0.24994659260841701"/>
      </top>
      <bottom style="dotted">
        <color theme="0" tint="-0.24994659260841701"/>
      </bottom>
      <diagonal/>
    </border>
    <border>
      <left style="thin">
        <color rgb="FF0A4669"/>
      </left>
      <right/>
      <top style="dotted">
        <color theme="0" tint="-0.24994659260841701"/>
      </top>
      <bottom style="thin">
        <color indexed="64"/>
      </bottom>
      <diagonal/>
    </border>
    <border>
      <left/>
      <right/>
      <top style="dotted">
        <color theme="0" tint="-0.24994659260841701"/>
      </top>
      <bottom style="thin">
        <color indexed="64"/>
      </bottom>
      <diagonal/>
    </border>
    <border>
      <left/>
      <right style="thin">
        <color indexed="64"/>
      </right>
      <top style="dotted">
        <color theme="0" tint="-0.24994659260841701"/>
      </top>
      <bottom style="thin">
        <color indexed="64"/>
      </bottom>
      <diagonal/>
    </border>
    <border>
      <left style="thin">
        <color rgb="FF0A4669"/>
      </left>
      <right style="thin">
        <color rgb="FF0A4669"/>
      </right>
      <top style="dotted">
        <color theme="0" tint="-0.24994659260841701"/>
      </top>
      <bottom style="dotted">
        <color theme="0" tint="-0.24994659260841701"/>
      </bottom>
      <diagonal/>
    </border>
    <border>
      <left style="thin">
        <color rgb="FF0A4669"/>
      </left>
      <right style="thin">
        <color rgb="FF0A4669"/>
      </right>
      <top style="dotted">
        <color theme="0" tint="-0.24994659260841701"/>
      </top>
      <bottom style="thin">
        <color indexed="64"/>
      </bottom>
      <diagonal/>
    </border>
    <border>
      <left style="medium">
        <color indexed="64"/>
      </left>
      <right style="thin">
        <color rgb="FF0A4669"/>
      </right>
      <top style="medium">
        <color indexed="64"/>
      </top>
      <bottom style="medium">
        <color indexed="64"/>
      </bottom>
      <diagonal/>
    </border>
    <border>
      <left style="thin">
        <color rgb="FF0A4669"/>
      </left>
      <right style="medium">
        <color indexed="64"/>
      </right>
      <top style="medium">
        <color indexed="64"/>
      </top>
      <bottom style="medium">
        <color indexed="64"/>
      </bottom>
      <diagonal/>
    </border>
    <border>
      <left style="medium">
        <color indexed="64"/>
      </left>
      <right style="thin">
        <color rgb="FF0A4669"/>
      </right>
      <top style="medium">
        <color indexed="64"/>
      </top>
      <bottom style="dotted">
        <color theme="0" tint="-0.24994659260841701"/>
      </bottom>
      <diagonal/>
    </border>
    <border>
      <left style="thin">
        <color rgb="FF0A4669"/>
      </left>
      <right style="thin">
        <color rgb="FF0A4669"/>
      </right>
      <top style="medium">
        <color indexed="64"/>
      </top>
      <bottom style="dotted">
        <color theme="0" tint="-0.24994659260841701"/>
      </bottom>
      <diagonal/>
    </border>
    <border>
      <left style="thin">
        <color rgb="FF0A4669"/>
      </left>
      <right style="medium">
        <color indexed="64"/>
      </right>
      <top style="medium">
        <color indexed="64"/>
      </top>
      <bottom style="dotted">
        <color theme="0" tint="-0.24994659260841701"/>
      </bottom>
      <diagonal/>
    </border>
    <border>
      <left style="medium">
        <color indexed="64"/>
      </left>
      <right style="thin">
        <color rgb="FF0A4669"/>
      </right>
      <top style="dotted">
        <color theme="0" tint="-0.24994659260841701"/>
      </top>
      <bottom style="dotted">
        <color theme="0" tint="-0.24994659260841701"/>
      </bottom>
      <diagonal/>
    </border>
    <border>
      <left style="thin">
        <color rgb="FF0A4669"/>
      </left>
      <right style="medium">
        <color indexed="64"/>
      </right>
      <top style="dotted">
        <color theme="0" tint="-0.24994659260841701"/>
      </top>
      <bottom style="dotted">
        <color theme="0" tint="-0.24994659260841701"/>
      </bottom>
      <diagonal/>
    </border>
    <border>
      <left style="medium">
        <color indexed="64"/>
      </left>
      <right style="thin">
        <color rgb="FF0A4669"/>
      </right>
      <top style="dotted">
        <color theme="0" tint="-0.24994659260841701"/>
      </top>
      <bottom style="medium">
        <color indexed="64"/>
      </bottom>
      <diagonal/>
    </border>
    <border>
      <left style="thin">
        <color rgb="FF0A4669"/>
      </left>
      <right style="thin">
        <color rgb="FF0A4669"/>
      </right>
      <top style="dotted">
        <color theme="0" tint="-0.24994659260841701"/>
      </top>
      <bottom style="medium">
        <color indexed="64"/>
      </bottom>
      <diagonal/>
    </border>
    <border>
      <left style="thin">
        <color rgb="FF0A4669"/>
      </left>
      <right style="medium">
        <color indexed="64"/>
      </right>
      <top style="dotted">
        <color theme="0" tint="-0.24994659260841701"/>
      </top>
      <bottom style="medium">
        <color indexed="64"/>
      </bottom>
      <diagonal/>
    </border>
    <border>
      <left style="medium">
        <color indexed="64"/>
      </left>
      <right style="thin">
        <color rgb="FF0A4669"/>
      </right>
      <top/>
      <bottom style="medium">
        <color indexed="64"/>
      </bottom>
      <diagonal/>
    </border>
    <border>
      <left style="thin">
        <color rgb="FF0A4669"/>
      </left>
      <right style="thin">
        <color rgb="FF0A4669"/>
      </right>
      <top/>
      <bottom style="medium">
        <color indexed="64"/>
      </bottom>
      <diagonal/>
    </border>
    <border>
      <left style="thin">
        <color rgb="FF0A4669"/>
      </left>
      <right style="medium">
        <color indexed="64"/>
      </right>
      <top/>
      <bottom style="medium">
        <color indexed="64"/>
      </bottom>
      <diagonal/>
    </border>
    <border>
      <left style="medium">
        <color indexed="64"/>
      </left>
      <right style="thin">
        <color rgb="FF0A4669"/>
      </right>
      <top style="medium">
        <color indexed="64"/>
      </top>
      <bottom/>
      <diagonal/>
    </border>
    <border>
      <left style="thin">
        <color rgb="FF0A4669"/>
      </left>
      <right style="medium">
        <color indexed="64"/>
      </right>
      <top style="medium">
        <color indexed="64"/>
      </top>
      <bottom/>
      <diagonal/>
    </border>
    <border>
      <left/>
      <right/>
      <top style="medium">
        <color indexed="64"/>
      </top>
      <bottom style="dotted">
        <color theme="0" tint="-0.24994659260841701"/>
      </bottom>
      <diagonal/>
    </border>
    <border>
      <left/>
      <right/>
      <top style="dotted">
        <color theme="0" tint="-0.24994659260841701"/>
      </top>
      <bottom style="medium">
        <color indexed="64"/>
      </bottom>
      <diagonal/>
    </border>
    <border>
      <left style="thin">
        <color indexed="64"/>
      </left>
      <right style="thin">
        <color indexed="64"/>
      </right>
      <top/>
      <bottom style="dotted">
        <color theme="0" tint="-0.24994659260841701"/>
      </bottom>
      <diagonal/>
    </border>
    <border>
      <left/>
      <right/>
      <top/>
      <bottom style="dotted">
        <color theme="0" tint="-0.24994659260841701"/>
      </bottom>
      <diagonal/>
    </border>
    <border>
      <left style="thin">
        <color indexed="64"/>
      </left>
      <right style="thin">
        <color indexed="64"/>
      </right>
      <top/>
      <bottom style="dotted">
        <color theme="1"/>
      </bottom>
      <diagonal/>
    </border>
    <border>
      <left style="medium">
        <color indexed="64"/>
      </left>
      <right style="medium">
        <color indexed="64"/>
      </right>
      <top style="dotted">
        <color theme="0" tint="-0.24994659260841701"/>
      </top>
      <bottom style="thin">
        <color indexed="64"/>
      </bottom>
      <diagonal/>
    </border>
    <border>
      <left style="medium">
        <color indexed="64"/>
      </left>
      <right style="thin">
        <color rgb="FF0A4669"/>
      </right>
      <top/>
      <bottom style="dotted">
        <color theme="0" tint="-0.24994659260841701"/>
      </bottom>
      <diagonal/>
    </border>
    <border>
      <left style="thin">
        <color rgb="FF0A4669"/>
      </left>
      <right style="medium">
        <color indexed="64"/>
      </right>
      <top/>
      <bottom style="dotted">
        <color theme="0" tint="-0.24994659260841701"/>
      </bottom>
      <diagonal/>
    </border>
    <border>
      <left style="thin">
        <color rgb="FF0A4669"/>
      </left>
      <right style="thin">
        <color rgb="FF0A4669"/>
      </right>
      <top/>
      <bottom style="dotted">
        <color theme="0" tint="-0.24994659260841701"/>
      </bottom>
      <diagonal/>
    </border>
    <border>
      <left style="medium">
        <color indexed="64"/>
      </left>
      <right style="thin">
        <color rgb="FF0A4669"/>
      </right>
      <top style="dotted">
        <color theme="0" tint="-0.24994659260841701"/>
      </top>
      <bottom style="thin">
        <color indexed="64"/>
      </bottom>
      <diagonal/>
    </border>
    <border>
      <left style="thin">
        <color rgb="FF0A4669"/>
      </left>
      <right style="medium">
        <color indexed="64"/>
      </right>
      <top style="dotted">
        <color theme="0" tint="-0.24994659260841701"/>
      </top>
      <bottom style="thin">
        <color indexed="64"/>
      </bottom>
      <diagonal/>
    </border>
    <border>
      <left style="medium">
        <color indexed="64"/>
      </left>
      <right style="thin">
        <color rgb="FF0A4669"/>
      </right>
      <top/>
      <bottom/>
      <diagonal/>
    </border>
    <border>
      <left style="thin">
        <color rgb="FF0A4669"/>
      </left>
      <right style="medium">
        <color indexed="64"/>
      </right>
      <top/>
      <bottom/>
      <diagonal/>
    </border>
    <border>
      <left style="medium">
        <color indexed="64"/>
      </left>
      <right style="thin">
        <color rgb="FF0A4669"/>
      </right>
      <top style="thin">
        <color indexed="64"/>
      </top>
      <bottom style="thin">
        <color indexed="64"/>
      </bottom>
      <diagonal/>
    </border>
    <border>
      <left style="thin">
        <color rgb="FF0A4669"/>
      </left>
      <right style="medium">
        <color indexed="64"/>
      </right>
      <top style="thin">
        <color indexed="64"/>
      </top>
      <bottom style="thin">
        <color indexed="64"/>
      </bottom>
      <diagonal/>
    </border>
    <border>
      <left style="medium">
        <color indexed="64"/>
      </left>
      <right/>
      <top/>
      <bottom style="dotted">
        <color theme="1"/>
      </bottom>
      <diagonal/>
    </border>
    <border>
      <left/>
      <right style="medium">
        <color indexed="64"/>
      </right>
      <top/>
      <bottom style="dotted">
        <color theme="1"/>
      </bottom>
      <diagonal/>
    </border>
    <border>
      <left style="medium">
        <color indexed="64"/>
      </left>
      <right/>
      <top style="dotted">
        <color theme="1"/>
      </top>
      <bottom style="dotted">
        <color theme="1"/>
      </bottom>
      <diagonal/>
    </border>
    <border>
      <left/>
      <right style="medium">
        <color indexed="64"/>
      </right>
      <top style="dotted">
        <color theme="1"/>
      </top>
      <bottom style="dotted">
        <color theme="1"/>
      </bottom>
      <diagonal/>
    </border>
    <border>
      <left style="medium">
        <color indexed="64"/>
      </left>
      <right/>
      <top style="dotted">
        <color theme="1"/>
      </top>
      <bottom style="thin">
        <color indexed="64"/>
      </bottom>
      <diagonal/>
    </border>
    <border>
      <left/>
      <right style="medium">
        <color indexed="64"/>
      </right>
      <top style="dotted">
        <color theme="1"/>
      </top>
      <bottom style="thin">
        <color indexed="64"/>
      </bottom>
      <diagonal/>
    </border>
    <border>
      <left style="medium">
        <color indexed="64"/>
      </left>
      <right style="thin">
        <color indexed="64"/>
      </right>
      <top style="thin">
        <color indexed="64"/>
      </top>
      <bottom style="dotted">
        <color theme="0" tint="-0.24994659260841701"/>
      </bottom>
      <diagonal/>
    </border>
    <border>
      <left style="thin">
        <color indexed="64"/>
      </left>
      <right style="medium">
        <color indexed="64"/>
      </right>
      <top style="thin">
        <color indexed="64"/>
      </top>
      <bottom style="dotted">
        <color theme="0" tint="-0.24994659260841701"/>
      </bottom>
      <diagonal/>
    </border>
    <border>
      <left style="medium">
        <color indexed="64"/>
      </left>
      <right style="thin">
        <color indexed="64"/>
      </right>
      <top style="dotted">
        <color theme="0" tint="-0.24994659260841701"/>
      </top>
      <bottom style="dotted">
        <color theme="0" tint="-0.24994659260841701"/>
      </bottom>
      <diagonal/>
    </border>
    <border>
      <left style="thin">
        <color indexed="64"/>
      </left>
      <right style="medium">
        <color indexed="64"/>
      </right>
      <top style="dotted">
        <color theme="0" tint="-0.24994659260841701"/>
      </top>
      <bottom style="dotted">
        <color theme="0" tint="-0.24994659260841701"/>
      </bottom>
      <diagonal/>
    </border>
    <border>
      <left style="medium">
        <color indexed="64"/>
      </left>
      <right style="thin">
        <color indexed="64"/>
      </right>
      <top style="dotted">
        <color theme="0" tint="-0.24994659260841701"/>
      </top>
      <bottom style="medium">
        <color indexed="64"/>
      </bottom>
      <diagonal/>
    </border>
    <border>
      <left style="thin">
        <color indexed="64"/>
      </left>
      <right style="thin">
        <color indexed="64"/>
      </right>
      <top style="dotted">
        <color theme="0" tint="-0.24994659260841701"/>
      </top>
      <bottom style="medium">
        <color indexed="64"/>
      </bottom>
      <diagonal/>
    </border>
    <border>
      <left style="thin">
        <color indexed="64"/>
      </left>
      <right style="medium">
        <color indexed="64"/>
      </right>
      <top style="dotted">
        <color theme="0" tint="-0.24994659260841701"/>
      </top>
      <bottom style="medium">
        <color indexed="64"/>
      </bottom>
      <diagonal/>
    </border>
    <border>
      <left/>
      <right/>
      <top style="medium">
        <color indexed="64"/>
      </top>
      <bottom style="thin">
        <color indexed="64"/>
      </bottom>
      <diagonal/>
    </border>
    <border>
      <left style="medium">
        <color indexed="64"/>
      </left>
      <right/>
      <top style="thin">
        <color indexed="64"/>
      </top>
      <bottom style="dotted">
        <color theme="0" tint="-0.24994659260841701"/>
      </bottom>
      <diagonal/>
    </border>
    <border>
      <left/>
      <right style="medium">
        <color indexed="64"/>
      </right>
      <top style="thin">
        <color indexed="64"/>
      </top>
      <bottom style="dotted">
        <color theme="0" tint="-0.24994659260841701"/>
      </bottom>
      <diagonal/>
    </border>
    <border>
      <left style="medium">
        <color indexed="64"/>
      </left>
      <right/>
      <top style="dotted">
        <color theme="0" tint="-0.24994659260841701"/>
      </top>
      <bottom style="dotted">
        <color theme="0" tint="-0.24994659260841701"/>
      </bottom>
      <diagonal/>
    </border>
    <border>
      <left/>
      <right style="medium">
        <color indexed="64"/>
      </right>
      <top style="dotted">
        <color theme="0" tint="-0.24994659260841701"/>
      </top>
      <bottom style="dotted">
        <color theme="0" tint="-0.24994659260841701"/>
      </bottom>
      <diagonal/>
    </border>
    <border>
      <left style="medium">
        <color indexed="64"/>
      </left>
      <right/>
      <top style="dotted">
        <color theme="0" tint="-0.24994659260841701"/>
      </top>
      <bottom style="thin">
        <color indexed="64"/>
      </bottom>
      <diagonal/>
    </border>
    <border>
      <left/>
      <right style="medium">
        <color indexed="64"/>
      </right>
      <top style="dotted">
        <color theme="0" tint="-0.24994659260841701"/>
      </top>
      <bottom style="thin">
        <color indexed="64"/>
      </bottom>
      <diagonal/>
    </border>
    <border>
      <left style="medium">
        <color indexed="64"/>
      </left>
      <right/>
      <top style="dotted">
        <color theme="0" tint="-0.24994659260841701"/>
      </top>
      <bottom style="medium">
        <color indexed="64"/>
      </bottom>
      <diagonal/>
    </border>
    <border>
      <left/>
      <right style="medium">
        <color indexed="64"/>
      </right>
      <top style="dotted">
        <color theme="0" tint="-0.24994659260841701"/>
      </top>
      <bottom style="medium">
        <color indexed="64"/>
      </bottom>
      <diagonal/>
    </border>
    <border>
      <left style="medium">
        <color indexed="64"/>
      </left>
      <right/>
      <top style="medium">
        <color indexed="64"/>
      </top>
      <bottom style="dotted">
        <color theme="0" tint="-0.24994659260841701"/>
      </bottom>
      <diagonal/>
    </border>
    <border>
      <left style="thin">
        <color indexed="64"/>
      </left>
      <right style="thin">
        <color indexed="64"/>
      </right>
      <top style="medium">
        <color indexed="64"/>
      </top>
      <bottom style="dotted">
        <color theme="0" tint="-0.24994659260841701"/>
      </bottom>
      <diagonal/>
    </border>
    <border>
      <left/>
      <right style="medium">
        <color indexed="64"/>
      </right>
      <top style="medium">
        <color indexed="64"/>
      </top>
      <bottom style="dotted">
        <color theme="0" tint="-0.24994659260841701"/>
      </bottom>
      <diagonal/>
    </border>
    <border>
      <left style="medium">
        <color indexed="64"/>
      </left>
      <right/>
      <top/>
      <bottom style="dotted">
        <color theme="0" tint="-0.24994659260841701"/>
      </bottom>
      <diagonal/>
    </border>
    <border>
      <left/>
      <right style="medium">
        <color indexed="64"/>
      </right>
      <top/>
      <bottom style="dotted">
        <color theme="0" tint="-0.24994659260841701"/>
      </bottom>
      <diagonal/>
    </border>
    <border>
      <left style="thin">
        <color indexed="64"/>
      </left>
      <right/>
      <top style="thin">
        <color indexed="64"/>
      </top>
      <bottom style="dotted">
        <color theme="0" tint="-0.24994659260841701"/>
      </bottom>
      <diagonal/>
    </border>
    <border>
      <left style="thin">
        <color indexed="64"/>
      </left>
      <right/>
      <top style="dotted">
        <color theme="0" tint="-0.24994659260841701"/>
      </top>
      <bottom style="dotted">
        <color theme="0" tint="-0.24994659260841701"/>
      </bottom>
      <diagonal/>
    </border>
    <border>
      <left style="thin">
        <color indexed="64"/>
      </left>
      <right/>
      <top style="dotted">
        <color theme="0" tint="-0.24994659260841701"/>
      </top>
      <bottom style="thin">
        <color indexed="64"/>
      </bottom>
      <diagonal/>
    </border>
    <border>
      <left style="thin">
        <color indexed="64"/>
      </left>
      <right/>
      <top style="dotted">
        <color theme="0" tint="-0.24994659260841701"/>
      </top>
      <bottom style="medium">
        <color indexed="64"/>
      </bottom>
      <diagonal/>
    </border>
    <border>
      <left style="medium">
        <color indexed="64"/>
      </left>
      <right style="thin">
        <color theme="0"/>
      </right>
      <top style="medium">
        <color indexed="64"/>
      </top>
      <bottom style="medium">
        <color indexed="64"/>
      </bottom>
      <diagonal/>
    </border>
    <border>
      <left/>
      <right style="thin">
        <color theme="0"/>
      </right>
      <top style="medium">
        <color indexed="64"/>
      </top>
      <bottom style="medium">
        <color indexed="64"/>
      </bottom>
      <diagonal/>
    </border>
    <border>
      <left style="medium">
        <color indexed="64"/>
      </left>
      <right style="medium">
        <color indexed="64"/>
      </right>
      <top style="medium">
        <color indexed="64"/>
      </top>
      <bottom style="dotted">
        <color theme="0" tint="-0.24994659260841701"/>
      </bottom>
      <diagonal/>
    </border>
    <border>
      <left style="medium">
        <color indexed="64"/>
      </left>
      <right style="medium">
        <color indexed="64"/>
      </right>
      <top/>
      <bottom style="dotted">
        <color theme="0" tint="-0.24994659260841701"/>
      </bottom>
      <diagonal/>
    </border>
    <border>
      <left style="medium">
        <color indexed="64"/>
      </left>
      <right style="medium">
        <color indexed="64"/>
      </right>
      <top style="dotted">
        <color theme="0" tint="-0.24994659260841701"/>
      </top>
      <bottom style="dotted">
        <color theme="0" tint="-0.24994659260841701"/>
      </bottom>
      <diagonal/>
    </border>
    <border>
      <left style="medium">
        <color indexed="64"/>
      </left>
      <right style="medium">
        <color indexed="64"/>
      </right>
      <top/>
      <bottom/>
      <diagonal/>
    </border>
    <border>
      <left style="medium">
        <color indexed="64"/>
      </left>
      <right style="medium">
        <color indexed="64"/>
      </right>
      <top style="dotted">
        <color theme="0" tint="-0.24994659260841701"/>
      </top>
      <bottom style="medium">
        <color indexed="64"/>
      </bottom>
      <diagonal/>
    </border>
    <border>
      <left style="medium">
        <color indexed="64"/>
      </left>
      <right style="thin">
        <color indexed="64"/>
      </right>
      <top/>
      <bottom style="medium">
        <color indexed="64"/>
      </bottom>
      <diagonal/>
    </border>
    <border>
      <left style="thin">
        <color indexed="64"/>
      </left>
      <right/>
      <top style="medium">
        <color indexed="64"/>
      </top>
      <bottom style="medium">
        <color indexed="64"/>
      </bottom>
      <diagonal/>
    </border>
    <border>
      <left style="thin">
        <color rgb="FF0A4669"/>
      </left>
      <right style="thin">
        <color indexed="64"/>
      </right>
      <top style="medium">
        <color indexed="64"/>
      </top>
      <bottom style="dotted">
        <color theme="0" tint="-0.24994659260841701"/>
      </bottom>
      <diagonal/>
    </border>
    <border>
      <left style="thin">
        <color rgb="FF0A4669"/>
      </left>
      <right style="thin">
        <color indexed="64"/>
      </right>
      <top style="dotted">
        <color theme="0" tint="-0.24994659260841701"/>
      </top>
      <bottom style="thin">
        <color indexed="64"/>
      </bottom>
      <diagonal/>
    </border>
    <border>
      <left style="thin">
        <color rgb="FF0A4669"/>
      </left>
      <right style="thin">
        <color indexed="64"/>
      </right>
      <top/>
      <bottom style="dotted">
        <color theme="0" tint="-0.24994659260841701"/>
      </bottom>
      <diagonal/>
    </border>
    <border>
      <left style="thin">
        <color rgb="FF0A4669"/>
      </left>
      <right style="thin">
        <color indexed="64"/>
      </right>
      <top style="dotted">
        <color theme="0" tint="-0.24994659260841701"/>
      </top>
      <bottom style="dotted">
        <color theme="0" tint="-0.24994659260841701"/>
      </bottom>
      <diagonal/>
    </border>
    <border>
      <left style="thin">
        <color rgb="FF0A4669"/>
      </left>
      <right style="thin">
        <color indexed="64"/>
      </right>
      <top/>
      <bottom/>
      <diagonal/>
    </border>
    <border>
      <left style="thin">
        <color rgb="FF0A4669"/>
      </left>
      <right style="thin">
        <color indexed="64"/>
      </right>
      <top style="thin">
        <color indexed="64"/>
      </top>
      <bottom style="thin">
        <color indexed="64"/>
      </bottom>
      <diagonal/>
    </border>
    <border>
      <left/>
      <right style="medium">
        <color indexed="64"/>
      </right>
      <top style="dotted">
        <color theme="0" tint="-0.24994659260841701"/>
      </top>
      <bottom/>
      <diagonal/>
    </border>
    <border>
      <left style="thin">
        <color rgb="FF0A4669"/>
      </left>
      <right style="thin">
        <color indexed="64"/>
      </right>
      <top style="dotted">
        <color theme="0" tint="-0.24994659260841701"/>
      </top>
      <bottom style="medium">
        <color indexed="64"/>
      </bottom>
      <diagonal/>
    </border>
    <border>
      <left style="thin">
        <color indexed="64"/>
      </left>
      <right style="medium">
        <color indexed="64"/>
      </right>
      <top/>
      <bottom style="dotted">
        <color theme="0" tint="-0.24994659260841701"/>
      </bottom>
      <diagonal/>
    </border>
    <border>
      <left style="thin">
        <color indexed="64"/>
      </left>
      <right style="medium">
        <color indexed="64"/>
      </right>
      <top style="medium">
        <color indexed="64"/>
      </top>
      <bottom style="dotted">
        <color theme="0" tint="-0.24994659260841701"/>
      </bottom>
      <diagonal/>
    </border>
    <border>
      <left style="thin">
        <color indexed="64"/>
      </left>
      <right style="medium">
        <color indexed="64"/>
      </right>
      <top style="dotted">
        <color theme="0" tint="-0.24994659260841701"/>
      </top>
      <bottom style="thin">
        <color indexed="64"/>
      </bottom>
      <diagonal/>
    </border>
  </borders>
  <cellStyleXfs count="166">
    <xf numFmtId="0" fontId="0" fillId="0" borderId="0"/>
    <xf numFmtId="165" fontId="1" fillId="0" borderId="0" applyFont="0" applyFill="0" applyBorder="0" applyAlignment="0" applyProtection="0"/>
    <xf numFmtId="9" fontId="1" fillId="0" borderId="0" applyFont="0" applyFill="0" applyBorder="0" applyAlignment="0" applyProtection="0"/>
    <xf numFmtId="0" fontId="2" fillId="2" borderId="1" applyNumberFormat="0" applyAlignment="0" applyProtection="0"/>
    <xf numFmtId="0" fontId="1" fillId="0" borderId="0"/>
    <xf numFmtId="9" fontId="1" fillId="0" borderId="0" applyFont="0" applyFill="0" applyBorder="0" applyAlignment="0" applyProtection="0"/>
    <xf numFmtId="165" fontId="1" fillId="0" borderId="0" applyFont="0" applyFill="0" applyBorder="0" applyAlignment="0" applyProtection="0"/>
    <xf numFmtId="0" fontId="6" fillId="3" borderId="0" applyNumberFormat="0" applyBorder="0" applyAlignment="0" applyProtection="0"/>
    <xf numFmtId="43" fontId="10" fillId="0" borderId="0" applyFont="0" applyFill="0" applyBorder="0" applyAlignment="0" applyProtection="0"/>
    <xf numFmtId="43" fontId="1" fillId="0" borderId="0" applyFont="0" applyFill="0" applyBorder="0" applyAlignment="0" applyProtection="0"/>
    <xf numFmtId="0" fontId="17" fillId="0" borderId="0"/>
    <xf numFmtId="0" fontId="10" fillId="0" borderId="0"/>
    <xf numFmtId="9" fontId="10" fillId="0" borderId="0" applyFont="0" applyFill="0" applyBorder="0" applyAlignment="0" applyProtection="0"/>
    <xf numFmtId="0" fontId="19"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14" borderId="0" applyNumberFormat="0" applyBorder="0" applyAlignment="0" applyProtection="0"/>
    <xf numFmtId="0" fontId="19" fillId="17" borderId="0" applyNumberFormat="0" applyBorder="0" applyAlignment="0" applyProtection="0"/>
    <xf numFmtId="0" fontId="19" fillId="20" borderId="0" applyNumberFormat="0" applyBorder="0" applyAlignment="0" applyProtection="0"/>
    <xf numFmtId="0" fontId="20" fillId="21"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20" fillId="28" borderId="0" applyNumberFormat="0" applyBorder="0" applyAlignment="0" applyProtection="0"/>
    <xf numFmtId="0" fontId="21" fillId="12" borderId="0" applyNumberFormat="0" applyBorder="0" applyAlignment="0" applyProtection="0"/>
    <xf numFmtId="0" fontId="22" fillId="29" borderId="25" applyNumberFormat="0" applyAlignment="0" applyProtection="0"/>
    <xf numFmtId="0" fontId="23" fillId="30" borderId="26" applyNumberFormat="0" applyAlignment="0" applyProtection="0"/>
    <xf numFmtId="0" fontId="24" fillId="0" borderId="0" applyNumberFormat="0" applyBorder="0" applyProtection="0"/>
    <xf numFmtId="14" fontId="24" fillId="0" borderId="0" applyBorder="0" applyProtection="0"/>
    <xf numFmtId="173" fontId="24" fillId="0" borderId="0" applyBorder="0" applyProtection="0">
      <alignment horizontal="right"/>
    </xf>
    <xf numFmtId="0" fontId="25" fillId="4" borderId="0" applyBorder="0" applyAlignment="0" applyProtection="0"/>
    <xf numFmtId="0" fontId="26" fillId="31" borderId="0" applyAlignment="0" applyProtection="0"/>
    <xf numFmtId="0" fontId="27" fillId="0" borderId="0" applyAlignment="0" applyProtection="0"/>
    <xf numFmtId="0" fontId="28" fillId="0" borderId="0"/>
    <xf numFmtId="164" fontId="17" fillId="0" borderId="0" applyFont="0" applyFill="0" applyBorder="0" applyAlignment="0" applyProtection="0"/>
    <xf numFmtId="174" fontId="17" fillId="0" borderId="0" applyFont="0" applyFill="0" applyBorder="0" applyAlignment="0" applyProtection="0"/>
    <xf numFmtId="0" fontId="29" fillId="0" borderId="0" applyNumberFormat="0" applyFill="0" applyBorder="0" applyAlignment="0" applyProtection="0"/>
    <xf numFmtId="0" fontId="30" fillId="13" borderId="0" applyNumberFormat="0" applyBorder="0" applyAlignment="0" applyProtection="0"/>
    <xf numFmtId="0" fontId="31" fillId="32" borderId="0" applyNumberFormat="0" applyBorder="0" applyProtection="0">
      <alignment horizontal="left"/>
    </xf>
    <xf numFmtId="0" fontId="32" fillId="0" borderId="27" applyNumberFormat="0" applyFill="0" applyAlignment="0" applyProtection="0"/>
    <xf numFmtId="0" fontId="33" fillId="0" borderId="28" applyNumberFormat="0" applyFill="0" applyAlignment="0" applyProtection="0"/>
    <xf numFmtId="0" fontId="34" fillId="0" borderId="29" applyNumberFormat="0" applyFill="0" applyAlignment="0" applyProtection="0"/>
    <xf numFmtId="0" fontId="34" fillId="0" borderId="29" applyNumberFormat="0" applyFill="0" applyAlignment="0" applyProtection="0"/>
    <xf numFmtId="0" fontId="34" fillId="0" borderId="0" applyNumberFormat="0" applyFill="0" applyBorder="0" applyAlignment="0" applyProtection="0"/>
    <xf numFmtId="14" fontId="35" fillId="0" borderId="0" applyBorder="0" applyProtection="0"/>
    <xf numFmtId="173" fontId="35" fillId="0" borderId="0" applyBorder="0" applyProtection="0"/>
    <xf numFmtId="175" fontId="35" fillId="0" borderId="0" applyBorder="0" applyProtection="0"/>
    <xf numFmtId="0" fontId="35" fillId="0" borderId="0" applyNumberFormat="0" applyBorder="0" applyProtection="0"/>
    <xf numFmtId="0" fontId="36" fillId="0" borderId="0" applyNumberFormat="0" applyFill="0" applyBorder="0" applyAlignment="0" applyProtection="0">
      <alignment vertical="top"/>
      <protection locked="0"/>
    </xf>
    <xf numFmtId="43" fontId="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38" fillId="0" borderId="30" applyNumberFormat="0" applyFill="0" applyAlignment="0" applyProtection="0"/>
    <xf numFmtId="43" fontId="1" fillId="0" borderId="0" applyFont="0" applyFill="0" applyBorder="0" applyAlignment="0" applyProtection="0"/>
    <xf numFmtId="165" fontId="1" fillId="0" borderId="0" applyFont="0" applyFill="0" applyBorder="0" applyAlignment="0" applyProtection="0"/>
    <xf numFmtId="15" fontId="17" fillId="0" borderId="0"/>
    <xf numFmtId="0" fontId="39" fillId="33" borderId="31" applyNumberFormat="0" applyFont="0" applyAlignment="0" applyProtection="0"/>
    <xf numFmtId="175" fontId="24" fillId="0" borderId="0" applyBorder="0" applyProtection="0">
      <alignment horizontal="right"/>
    </xf>
    <xf numFmtId="0" fontId="40" fillId="29" borderId="32" applyNumberFormat="0" applyAlignment="0" applyProtection="0"/>
    <xf numFmtId="9" fontId="39" fillId="0" borderId="0" applyFont="0" applyFill="0" applyBorder="0" applyAlignment="0" applyProtection="0"/>
    <xf numFmtId="9" fontId="17" fillId="0" borderId="0" applyFont="0" applyFill="0" applyBorder="0" applyAlignment="0" applyProtection="0"/>
    <xf numFmtId="0" fontId="17" fillId="0" borderId="0"/>
    <xf numFmtId="0" fontId="10" fillId="0" borderId="0"/>
    <xf numFmtId="0" fontId="17" fillId="0" borderId="0"/>
    <xf numFmtId="0" fontId="17" fillId="0" borderId="0"/>
    <xf numFmtId="0" fontId="10" fillId="0" borderId="0"/>
    <xf numFmtId="0" fontId="1" fillId="0" borderId="0"/>
    <xf numFmtId="0" fontId="17" fillId="0" borderId="0"/>
    <xf numFmtId="0" fontId="17" fillId="0" borderId="0"/>
    <xf numFmtId="0" fontId="41" fillId="0" borderId="0"/>
    <xf numFmtId="0" fontId="1" fillId="0" borderId="0"/>
    <xf numFmtId="0" fontId="42" fillId="0" borderId="0"/>
    <xf numFmtId="0" fontId="17" fillId="0" borderId="0"/>
    <xf numFmtId="0" fontId="17" fillId="0" borderId="0"/>
    <xf numFmtId="0" fontId="1" fillId="0" borderId="0"/>
    <xf numFmtId="0" fontId="17" fillId="0" borderId="0"/>
    <xf numFmtId="0" fontId="17" fillId="0" borderId="0"/>
    <xf numFmtId="0" fontId="17" fillId="0" borderId="0"/>
    <xf numFmtId="0" fontId="17" fillId="0" borderId="0"/>
    <xf numFmtId="0" fontId="17" fillId="0" borderId="0"/>
    <xf numFmtId="176" fontId="35" fillId="0" borderId="0" applyBorder="0" applyProtection="0"/>
    <xf numFmtId="176" fontId="24" fillId="0" borderId="0" applyBorder="0" applyProtection="0">
      <alignment horizontal="right"/>
    </xf>
    <xf numFmtId="0" fontId="43" fillId="0" borderId="0" applyNumberFormat="0" applyFill="0" applyBorder="0" applyAlignment="0" applyProtection="0"/>
    <xf numFmtId="0" fontId="44" fillId="0" borderId="33" applyNumberFormat="0" applyFill="0" applyAlignment="0" applyProtection="0"/>
    <xf numFmtId="0" fontId="26" fillId="34" borderId="0" applyNumberFormat="0" applyAlignment="0" applyProtection="0"/>
    <xf numFmtId="0" fontId="27" fillId="0" borderId="0" applyNumberFormat="0" applyAlignment="0" applyProtection="0"/>
    <xf numFmtId="0" fontId="26" fillId="35" borderId="0" applyNumberFormat="0" applyBorder="0" applyAlignment="0" applyProtection="0"/>
    <xf numFmtId="0" fontId="45" fillId="0" borderId="0"/>
    <xf numFmtId="0" fontId="46" fillId="0" borderId="0" applyNumberFormat="0" applyFill="0" applyBorder="0" applyAlignment="0" applyProtection="0"/>
    <xf numFmtId="0" fontId="22" fillId="29" borderId="47" applyNumberFormat="0" applyAlignment="0" applyProtection="0"/>
    <xf numFmtId="0" fontId="37" fillId="16" borderId="47" applyNumberFormat="0" applyAlignment="0" applyProtection="0"/>
    <xf numFmtId="0" fontId="39" fillId="33" borderId="48" applyNumberFormat="0" applyFont="0" applyAlignment="0" applyProtection="0"/>
    <xf numFmtId="0" fontId="40" fillId="29" borderId="49" applyNumberFormat="0" applyAlignment="0" applyProtection="0"/>
    <xf numFmtId="0" fontId="44" fillId="0" borderId="50" applyNumberFormat="0" applyFill="0" applyAlignment="0" applyProtection="0"/>
    <xf numFmtId="43" fontId="10" fillId="0" borderId="0" applyFont="0" applyFill="0" applyBorder="0" applyAlignment="0" applyProtection="0"/>
    <xf numFmtId="43" fontId="1" fillId="0" borderId="0" applyFont="0" applyFill="0" applyBorder="0" applyAlignment="0" applyProtection="0"/>
    <xf numFmtId="164" fontId="17" fillId="0" borderId="0" applyFont="0" applyFill="0" applyBorder="0" applyAlignment="0" applyProtection="0"/>
    <xf numFmtId="0" fontId="37" fillId="16" borderId="47" applyNumberFormat="0" applyAlignment="0" applyProtection="0"/>
    <xf numFmtId="43" fontId="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0" fontId="22" fillId="29" borderId="54" applyNumberFormat="0" applyAlignment="0" applyProtection="0"/>
    <xf numFmtId="0" fontId="37" fillId="16" borderId="54" applyNumberFormat="0" applyAlignment="0" applyProtection="0"/>
    <xf numFmtId="0" fontId="39" fillId="33" borderId="55" applyNumberFormat="0" applyFont="0" applyAlignment="0" applyProtection="0"/>
    <xf numFmtId="0" fontId="40" fillId="29" borderId="56" applyNumberFormat="0" applyAlignment="0" applyProtection="0"/>
    <xf numFmtId="0" fontId="44" fillId="0" borderId="57" applyNumberFormat="0" applyFill="0" applyAlignment="0" applyProtection="0"/>
    <xf numFmtId="0" fontId="10" fillId="0" borderId="0"/>
    <xf numFmtId="0" fontId="1" fillId="0" borderId="0"/>
    <xf numFmtId="43" fontId="10" fillId="0" borderId="0" applyFont="0" applyFill="0" applyBorder="0" applyAlignment="0" applyProtection="0"/>
    <xf numFmtId="0" fontId="22" fillId="29" borderId="77" applyNumberFormat="0" applyAlignment="0" applyProtection="0"/>
    <xf numFmtId="43" fontId="10" fillId="0" borderId="0" applyFont="0" applyFill="0" applyBorder="0" applyAlignment="0" applyProtection="0"/>
    <xf numFmtId="43" fontId="1" fillId="0" borderId="0" applyFont="0" applyFill="0" applyBorder="0" applyAlignment="0" applyProtection="0"/>
    <xf numFmtId="0" fontId="44" fillId="0" borderId="76" applyNumberFormat="0" applyFill="0" applyAlignment="0" applyProtection="0"/>
    <xf numFmtId="0" fontId="40" fillId="29" borderId="75" applyNumberFormat="0" applyAlignment="0" applyProtection="0"/>
    <xf numFmtId="0" fontId="39" fillId="33" borderId="74" applyNumberFormat="0" applyFont="0" applyAlignment="0" applyProtection="0"/>
    <xf numFmtId="0" fontId="22" fillId="29" borderId="73" applyNumberFormat="0" applyAlignment="0" applyProtection="0"/>
    <xf numFmtId="0" fontId="37" fillId="16" borderId="77" applyNumberFormat="0" applyAlignment="0" applyProtection="0"/>
    <xf numFmtId="0" fontId="37" fillId="16" borderId="77" applyNumberFormat="0" applyAlignment="0" applyProtection="0"/>
    <xf numFmtId="0" fontId="44" fillId="0" borderId="80" applyNumberFormat="0" applyFill="0" applyAlignment="0" applyProtection="0"/>
    <xf numFmtId="0" fontId="22" fillId="29" borderId="77" applyNumberFormat="0" applyAlignment="0" applyProtection="0"/>
    <xf numFmtId="164" fontId="17"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0" fontId="37" fillId="16" borderId="77" applyNumberFormat="0" applyAlignment="0" applyProtection="0"/>
    <xf numFmtId="0" fontId="40" fillId="29" borderId="79" applyNumberFormat="0" applyAlignment="0" applyProtection="0"/>
    <xf numFmtId="43" fontId="10" fillId="0" borderId="0" applyFont="0" applyFill="0" applyBorder="0" applyAlignment="0" applyProtection="0"/>
    <xf numFmtId="43" fontId="1" fillId="0" borderId="0" applyFont="0" applyFill="0" applyBorder="0" applyAlignment="0" applyProtection="0"/>
    <xf numFmtId="164" fontId="17"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0" fontId="39" fillId="33" borderId="78" applyNumberFormat="0" applyFont="0" applyAlignment="0" applyProtection="0"/>
    <xf numFmtId="0" fontId="37" fillId="16" borderId="73" applyNumberFormat="0" applyAlignment="0" applyProtection="0"/>
    <xf numFmtId="0" fontId="39" fillId="33" borderId="78" applyNumberFormat="0" applyFont="0" applyAlignment="0" applyProtection="0"/>
    <xf numFmtId="0" fontId="37" fillId="16" borderId="73" applyNumberFormat="0" applyAlignment="0" applyProtection="0"/>
    <xf numFmtId="43" fontId="10" fillId="0" borderId="0" applyFont="0" applyFill="0" applyBorder="0" applyAlignment="0" applyProtection="0"/>
    <xf numFmtId="0" fontId="22" fillId="29" borderId="73" applyNumberFormat="0" applyAlignment="0" applyProtection="0"/>
    <xf numFmtId="0" fontId="37" fillId="16" borderId="73" applyNumberFormat="0" applyAlignment="0" applyProtection="0"/>
    <xf numFmtId="0" fontId="39" fillId="33" borderId="74" applyNumberFormat="0" applyFont="0" applyAlignment="0" applyProtection="0"/>
    <xf numFmtId="0" fontId="40" fillId="29" borderId="75" applyNumberFormat="0" applyAlignment="0" applyProtection="0"/>
    <xf numFmtId="0" fontId="44" fillId="0" borderId="76" applyNumberFormat="0" applyFill="0" applyAlignment="0" applyProtection="0"/>
    <xf numFmtId="0" fontId="44" fillId="0" borderId="80" applyNumberFormat="0" applyFill="0" applyAlignment="0" applyProtection="0"/>
    <xf numFmtId="0" fontId="73" fillId="0" borderId="0"/>
    <xf numFmtId="0" fontId="17" fillId="0" borderId="0"/>
    <xf numFmtId="43" fontId="1" fillId="0" borderId="0" applyFont="0" applyFill="0" applyBorder="0" applyAlignment="0" applyProtection="0"/>
  </cellStyleXfs>
  <cellXfs count="1074">
    <xf numFmtId="0" fontId="0" fillId="0" borderId="0" xfId="0"/>
    <xf numFmtId="0" fontId="0" fillId="0" borderId="0" xfId="0" applyAlignment="1">
      <alignment horizontal="right"/>
    </xf>
    <xf numFmtId="0" fontId="5" fillId="0" borderId="0" xfId="0" applyFont="1"/>
    <xf numFmtId="0" fontId="0" fillId="0" borderId="0" xfId="0" applyAlignment="1">
      <alignment horizontal="center"/>
    </xf>
    <xf numFmtId="2" fontId="0" fillId="0" borderId="0" xfId="0" applyNumberFormat="1"/>
    <xf numFmtId="3" fontId="0" fillId="0" borderId="0" xfId="0" applyNumberFormat="1"/>
    <xf numFmtId="2" fontId="9" fillId="0" borderId="0" xfId="0" applyNumberFormat="1" applyFont="1"/>
    <xf numFmtId="0" fontId="5" fillId="0" borderId="0" xfId="0" applyFont="1" applyAlignment="1">
      <alignment horizontal="center"/>
    </xf>
    <xf numFmtId="0" fontId="12" fillId="0" borderId="0" xfId="0" applyFont="1" applyAlignment="1">
      <alignment horizontal="center"/>
    </xf>
    <xf numFmtId="170" fontId="0" fillId="0" borderId="0" xfId="2" applyNumberFormat="1" applyFont="1"/>
    <xf numFmtId="0" fontId="5" fillId="0" borderId="0" xfId="0" applyFont="1" applyAlignment="1">
      <alignment horizontal="center" wrapText="1"/>
    </xf>
    <xf numFmtId="3" fontId="5" fillId="0" borderId="0" xfId="0" applyNumberFormat="1" applyFont="1"/>
    <xf numFmtId="3" fontId="9" fillId="0" borderId="0" xfId="0" applyNumberFormat="1" applyFont="1"/>
    <xf numFmtId="0" fontId="16" fillId="0" borderId="0" xfId="0" applyFont="1"/>
    <xf numFmtId="0" fontId="0" fillId="0" borderId="0" xfId="0" applyAlignment="1">
      <alignment horizontal="left"/>
    </xf>
    <xf numFmtId="0" fontId="12" fillId="7" borderId="0" xfId="0" applyFont="1" applyFill="1"/>
    <xf numFmtId="0" fontId="0" fillId="7" borderId="0" xfId="0" applyFill="1"/>
    <xf numFmtId="0" fontId="9" fillId="0" borderId="0" xfId="0" applyFont="1"/>
    <xf numFmtId="0" fontId="7" fillId="7" borderId="22" xfId="0" applyFont="1" applyFill="1" applyBorder="1"/>
    <xf numFmtId="10" fontId="7" fillId="7" borderId="22" xfId="2" applyNumberFormat="1" applyFont="1" applyFill="1" applyBorder="1" applyAlignment="1">
      <alignment horizontal="center"/>
    </xf>
    <xf numFmtId="0" fontId="6" fillId="8" borderId="22" xfId="10" applyFont="1" applyFill="1" applyBorder="1" applyAlignment="1">
      <alignment horizontal="center" wrapText="1"/>
    </xf>
    <xf numFmtId="0" fontId="3" fillId="8" borderId="22" xfId="0" applyFont="1" applyFill="1" applyBorder="1" applyAlignment="1">
      <alignment horizontal="center"/>
    </xf>
    <xf numFmtId="0" fontId="0" fillId="7" borderId="0" xfId="0" applyFill="1" applyAlignment="1">
      <alignment horizontal="right"/>
    </xf>
    <xf numFmtId="0" fontId="9" fillId="7" borderId="16" xfId="10" applyFont="1" applyFill="1" applyBorder="1" applyAlignment="1">
      <alignment horizontal="right"/>
    </xf>
    <xf numFmtId="0" fontId="9" fillId="7" borderId="17" xfId="10" applyFont="1" applyFill="1" applyBorder="1" applyAlignment="1">
      <alignment horizontal="right"/>
    </xf>
    <xf numFmtId="3" fontId="0" fillId="7" borderId="22" xfId="0" applyNumberFormat="1" applyFill="1" applyBorder="1"/>
    <xf numFmtId="3" fontId="7" fillId="7" borderId="22" xfId="0" applyNumberFormat="1" applyFont="1" applyFill="1" applyBorder="1"/>
    <xf numFmtId="3" fontId="9" fillId="7" borderId="22" xfId="0" applyNumberFormat="1" applyFont="1" applyFill="1" applyBorder="1"/>
    <xf numFmtId="0" fontId="7" fillId="7" borderId="22" xfId="0" applyFont="1" applyFill="1" applyBorder="1" applyAlignment="1">
      <alignment horizontal="right"/>
    </xf>
    <xf numFmtId="0" fontId="6" fillId="8" borderId="22" xfId="10" applyFont="1" applyFill="1" applyBorder="1" applyAlignment="1">
      <alignment vertical="center"/>
    </xf>
    <xf numFmtId="0" fontId="6" fillId="8" borderId="17" xfId="10" applyFont="1" applyFill="1" applyBorder="1" applyAlignment="1">
      <alignment horizontal="right"/>
    </xf>
    <xf numFmtId="0" fontId="0" fillId="0" borderId="22" xfId="0" applyBorder="1"/>
    <xf numFmtId="3" fontId="0" fillId="0" borderId="22" xfId="0" applyNumberFormat="1" applyBorder="1"/>
    <xf numFmtId="3" fontId="9" fillId="7" borderId="17" xfId="0" applyNumberFormat="1" applyFont="1" applyFill="1" applyBorder="1"/>
    <xf numFmtId="0" fontId="9" fillId="7" borderId="35" xfId="10" applyFont="1" applyFill="1" applyBorder="1" applyAlignment="1">
      <alignment horizontal="right"/>
    </xf>
    <xf numFmtId="0" fontId="9" fillId="7" borderId="34" xfId="10" applyFont="1" applyFill="1" applyBorder="1" applyAlignment="1">
      <alignment horizontal="right"/>
    </xf>
    <xf numFmtId="3" fontId="7" fillId="7" borderId="17" xfId="0" applyNumberFormat="1" applyFont="1" applyFill="1" applyBorder="1"/>
    <xf numFmtId="0" fontId="6" fillId="8" borderId="16" xfId="10" applyFont="1" applyFill="1" applyBorder="1" applyAlignment="1">
      <alignment horizontal="right"/>
    </xf>
    <xf numFmtId="0" fontId="6" fillId="8" borderId="35" xfId="10" applyFont="1" applyFill="1" applyBorder="1" applyAlignment="1">
      <alignment horizontal="right"/>
    </xf>
    <xf numFmtId="0" fontId="6" fillId="8" borderId="34" xfId="10" applyFont="1" applyFill="1" applyBorder="1" applyAlignment="1">
      <alignment horizontal="right"/>
    </xf>
    <xf numFmtId="3" fontId="4" fillId="0" borderId="0" xfId="0" applyNumberFormat="1" applyFont="1"/>
    <xf numFmtId="0" fontId="4" fillId="0" borderId="0" xfId="0" applyFont="1"/>
    <xf numFmtId="9" fontId="0" fillId="0" borderId="0" xfId="2" applyFont="1"/>
    <xf numFmtId="0" fontId="5" fillId="0" borderId="0" xfId="0" applyFont="1" applyAlignment="1">
      <alignment horizontal="right"/>
    </xf>
    <xf numFmtId="0" fontId="14" fillId="0" borderId="0" xfId="0" applyFont="1" applyAlignment="1">
      <alignment horizontal="center"/>
    </xf>
    <xf numFmtId="0" fontId="7" fillId="0" borderId="24" xfId="0" applyFont="1" applyBorder="1" applyAlignment="1">
      <alignment horizontal="center" wrapText="1"/>
    </xf>
    <xf numFmtId="169" fontId="7" fillId="7" borderId="22" xfId="2" applyNumberFormat="1" applyFont="1" applyFill="1" applyBorder="1" applyAlignment="1">
      <alignment horizontal="center"/>
    </xf>
    <xf numFmtId="171" fontId="5" fillId="6" borderId="22" xfId="10" applyNumberFormat="1" applyFont="1" applyFill="1" applyBorder="1"/>
    <xf numFmtId="0" fontId="5" fillId="0" borderId="24" xfId="0" applyFont="1" applyBorder="1" applyAlignment="1">
      <alignment horizontal="center"/>
    </xf>
    <xf numFmtId="0" fontId="0" fillId="0" borderId="24" xfId="0" applyBorder="1"/>
    <xf numFmtId="0" fontId="0" fillId="0" borderId="24" xfId="0" applyBorder="1" applyAlignment="1">
      <alignment horizontal="right"/>
    </xf>
    <xf numFmtId="0" fontId="0" fillId="0" borderId="24" xfId="0" applyBorder="1" applyAlignment="1">
      <alignment horizontal="center"/>
    </xf>
    <xf numFmtId="0" fontId="11" fillId="0" borderId="0" xfId="0" applyFont="1" applyAlignment="1">
      <alignment horizontal="right"/>
    </xf>
    <xf numFmtId="167" fontId="0" fillId="0" borderId="0" xfId="0" applyNumberFormat="1"/>
    <xf numFmtId="170" fontId="0" fillId="0" borderId="0" xfId="0" applyNumberFormat="1"/>
    <xf numFmtId="0" fontId="16" fillId="0" borderId="0" xfId="0" applyFont="1" applyAlignment="1">
      <alignment horizontal="center"/>
    </xf>
    <xf numFmtId="0" fontId="0" fillId="0" borderId="24" xfId="0" applyBorder="1" applyAlignment="1">
      <alignment horizontal="left"/>
    </xf>
    <xf numFmtId="4" fontId="4" fillId="0" borderId="0" xfId="0" applyNumberFormat="1" applyFont="1"/>
    <xf numFmtId="0" fontId="13" fillId="0" borderId="0" xfId="0" applyFont="1" applyAlignment="1">
      <alignment horizontal="right"/>
    </xf>
    <xf numFmtId="0" fontId="13" fillId="0" borderId="0" xfId="0" applyFont="1" applyAlignment="1">
      <alignment horizontal="center"/>
    </xf>
    <xf numFmtId="0" fontId="49" fillId="5" borderId="0" xfId="0" applyFont="1" applyFill="1"/>
    <xf numFmtId="3" fontId="49" fillId="5" borderId="0" xfId="0" applyNumberFormat="1" applyFont="1" applyFill="1"/>
    <xf numFmtId="1" fontId="0" fillId="0" borderId="0" xfId="0" applyNumberFormat="1"/>
    <xf numFmtId="169" fontId="0" fillId="0" borderId="0" xfId="0" applyNumberFormat="1"/>
    <xf numFmtId="178" fontId="0" fillId="0" borderId="0" xfId="0" applyNumberFormat="1"/>
    <xf numFmtId="2" fontId="0" fillId="38" borderId="0" xfId="0" applyNumberFormat="1" applyFill="1"/>
    <xf numFmtId="4" fontId="0" fillId="0" borderId="0" xfId="0" applyNumberFormat="1"/>
    <xf numFmtId="180" fontId="0" fillId="0" borderId="0" xfId="0" applyNumberFormat="1"/>
    <xf numFmtId="0" fontId="52" fillId="0" borderId="0" xfId="0" applyFont="1"/>
    <xf numFmtId="15" fontId="51" fillId="0" borderId="0" xfId="4" applyNumberFormat="1" applyFont="1" applyAlignment="1">
      <alignment horizontal="left"/>
    </xf>
    <xf numFmtId="15" fontId="51" fillId="0" borderId="0" xfId="4" applyNumberFormat="1" applyFont="1" applyAlignment="1">
      <alignment horizontal="center"/>
    </xf>
    <xf numFmtId="2" fontId="51" fillId="0" borderId="0" xfId="3" applyNumberFormat="1" applyFont="1" applyFill="1" applyBorder="1" applyAlignment="1">
      <alignment horizontal="center"/>
    </xf>
    <xf numFmtId="3" fontId="52" fillId="0" borderId="0" xfId="3" applyNumberFormat="1" applyFont="1" applyFill="1" applyBorder="1" applyAlignment="1">
      <alignment horizontal="right"/>
    </xf>
    <xf numFmtId="0" fontId="52" fillId="0" borderId="0" xfId="0" applyFont="1" applyAlignment="1">
      <alignment horizontal="center"/>
    </xf>
    <xf numFmtId="167" fontId="52" fillId="0" borderId="0" xfId="7" applyNumberFormat="1" applyFont="1" applyFill="1" applyBorder="1" applyAlignment="1">
      <alignment horizontal="right"/>
    </xf>
    <xf numFmtId="167" fontId="52" fillId="0" borderId="0" xfId="3" applyNumberFormat="1" applyFont="1" applyFill="1" applyBorder="1" applyAlignment="1">
      <alignment horizontal="right"/>
    </xf>
    <xf numFmtId="2" fontId="52" fillId="0" borderId="0" xfId="3" applyNumberFormat="1" applyFont="1" applyFill="1" applyBorder="1" applyAlignment="1">
      <alignment horizontal="center"/>
    </xf>
    <xf numFmtId="15" fontId="53" fillId="0" borderId="0" xfId="4" applyNumberFormat="1" applyFont="1" applyAlignment="1">
      <alignment horizontal="left"/>
    </xf>
    <xf numFmtId="2" fontId="53" fillId="0" borderId="0" xfId="3" applyNumberFormat="1" applyFont="1" applyFill="1" applyBorder="1" applyAlignment="1">
      <alignment horizontal="center"/>
    </xf>
    <xf numFmtId="0" fontId="50" fillId="0" borderId="0" xfId="0" applyFont="1"/>
    <xf numFmtId="15" fontId="51" fillId="0" borderId="9" xfId="4" applyNumberFormat="1" applyFont="1" applyBorder="1" applyAlignment="1">
      <alignment horizontal="left"/>
    </xf>
    <xf numFmtId="0" fontId="52" fillId="0" borderId="9" xfId="0" applyFont="1" applyBorder="1"/>
    <xf numFmtId="3" fontId="52" fillId="0" borderId="10" xfId="2" applyNumberFormat="1" applyFont="1" applyFill="1" applyBorder="1" applyAlignment="1">
      <alignment horizontal="right"/>
    </xf>
    <xf numFmtId="0" fontId="52" fillId="0" borderId="9" xfId="0" applyFont="1" applyBorder="1" applyAlignment="1">
      <alignment horizontal="right"/>
    </xf>
    <xf numFmtId="0" fontId="52" fillId="0" borderId="10" xfId="4" applyFont="1" applyBorder="1"/>
    <xf numFmtId="15" fontId="51" fillId="0" borderId="5" xfId="4" applyNumberFormat="1" applyFont="1" applyBorder="1" applyAlignment="1">
      <alignment horizontal="left"/>
    </xf>
    <xf numFmtId="167" fontId="52" fillId="0" borderId="6" xfId="3" applyNumberFormat="1" applyFont="1" applyFill="1" applyBorder="1" applyAlignment="1">
      <alignment horizontal="right"/>
    </xf>
    <xf numFmtId="0" fontId="0" fillId="0" borderId="6" xfId="0" applyBorder="1"/>
    <xf numFmtId="0" fontId="52" fillId="0" borderId="14" xfId="4" applyFont="1" applyBorder="1"/>
    <xf numFmtId="15" fontId="53" fillId="0" borderId="6" xfId="4" applyNumberFormat="1" applyFont="1" applyBorder="1" applyAlignment="1">
      <alignment horizontal="left"/>
    </xf>
    <xf numFmtId="2" fontId="53" fillId="0" borderId="6" xfId="3" applyNumberFormat="1" applyFont="1" applyFill="1" applyBorder="1" applyAlignment="1">
      <alignment horizontal="center"/>
    </xf>
    <xf numFmtId="166" fontId="55" fillId="5" borderId="3" xfId="4" applyNumberFormat="1" applyFont="1" applyFill="1" applyBorder="1"/>
    <xf numFmtId="166" fontId="55" fillId="5" borderId="4" xfId="4" applyNumberFormat="1" applyFont="1" applyFill="1" applyBorder="1"/>
    <xf numFmtId="0" fontId="56" fillId="5" borderId="4" xfId="0" applyFont="1" applyFill="1" applyBorder="1"/>
    <xf numFmtId="0" fontId="56" fillId="5" borderId="4" xfId="4" applyFont="1" applyFill="1" applyBorder="1"/>
    <xf numFmtId="15" fontId="55" fillId="5" borderId="4" xfId="4" applyNumberFormat="1" applyFont="1" applyFill="1" applyBorder="1" applyAlignment="1">
      <alignment horizontal="left"/>
    </xf>
    <xf numFmtId="167" fontId="55" fillId="5" borderId="4" xfId="3" applyNumberFormat="1" applyFont="1" applyFill="1" applyBorder="1" applyAlignment="1">
      <alignment horizontal="right"/>
    </xf>
    <xf numFmtId="0" fontId="6" fillId="5" borderId="4" xfId="0" applyFont="1" applyFill="1" applyBorder="1"/>
    <xf numFmtId="0" fontId="6" fillId="5" borderId="8" xfId="0" applyFont="1" applyFill="1" applyBorder="1"/>
    <xf numFmtId="0" fontId="52" fillId="0" borderId="58" xfId="0" applyFont="1" applyBorder="1" applyAlignment="1">
      <alignment horizontal="right"/>
    </xf>
    <xf numFmtId="0" fontId="52" fillId="0" borderId="24" xfId="0" applyFont="1" applyBorder="1"/>
    <xf numFmtId="2" fontId="52" fillId="0" borderId="24" xfId="3" applyNumberFormat="1" applyFont="1" applyFill="1" applyBorder="1" applyAlignment="1">
      <alignment horizontal="center"/>
    </xf>
    <xf numFmtId="3" fontId="52" fillId="0" borderId="24" xfId="3" applyNumberFormat="1" applyFont="1" applyFill="1" applyBorder="1" applyAlignment="1">
      <alignment horizontal="right"/>
    </xf>
    <xf numFmtId="3" fontId="52" fillId="0" borderId="60" xfId="2" applyNumberFormat="1" applyFont="1" applyFill="1" applyBorder="1" applyAlignment="1">
      <alignment horizontal="right"/>
    </xf>
    <xf numFmtId="15" fontId="51" fillId="44" borderId="9" xfId="4" applyNumberFormat="1" applyFont="1" applyFill="1" applyBorder="1" applyAlignment="1">
      <alignment horizontal="left"/>
    </xf>
    <xf numFmtId="15" fontId="51" fillId="44" borderId="0" xfId="4" applyNumberFormat="1" applyFont="1" applyFill="1" applyAlignment="1">
      <alignment horizontal="left"/>
    </xf>
    <xf numFmtId="0" fontId="52" fillId="44" borderId="0" xfId="0" applyFont="1" applyFill="1"/>
    <xf numFmtId="15" fontId="14" fillId="44" borderId="0" xfId="4" applyNumberFormat="1" applyFont="1" applyFill="1" applyAlignment="1">
      <alignment horizontal="center"/>
    </xf>
    <xf numFmtId="6" fontId="14" fillId="44" borderId="0" xfId="4" applyNumberFormat="1" applyFont="1" applyFill="1" applyAlignment="1">
      <alignment horizontal="center"/>
    </xf>
    <xf numFmtId="15" fontId="14" fillId="44" borderId="0" xfId="4" quotePrefix="1" applyNumberFormat="1" applyFont="1" applyFill="1" applyAlignment="1">
      <alignment horizontal="center"/>
    </xf>
    <xf numFmtId="15" fontId="14" fillId="44" borderId="10" xfId="4" quotePrefix="1" applyNumberFormat="1" applyFont="1" applyFill="1" applyBorder="1" applyAlignment="1">
      <alignment horizontal="center"/>
    </xf>
    <xf numFmtId="15" fontId="51" fillId="44" borderId="0" xfId="4" applyNumberFormat="1" applyFont="1" applyFill="1" applyAlignment="1">
      <alignment horizontal="center"/>
    </xf>
    <xf numFmtId="15" fontId="51" fillId="44" borderId="10" xfId="4" applyNumberFormat="1" applyFont="1" applyFill="1" applyBorder="1" applyAlignment="1">
      <alignment horizontal="center"/>
    </xf>
    <xf numFmtId="15" fontId="51" fillId="44" borderId="24" xfId="4" applyNumberFormat="1" applyFont="1" applyFill="1" applyBorder="1" applyAlignment="1">
      <alignment horizontal="center"/>
    </xf>
    <xf numFmtId="49" fontId="51" fillId="44" borderId="24" xfId="4" applyNumberFormat="1" applyFont="1" applyFill="1" applyBorder="1" applyAlignment="1">
      <alignment horizontal="center"/>
    </xf>
    <xf numFmtId="15" fontId="51" fillId="44" borderId="60" xfId="4" applyNumberFormat="1" applyFont="1" applyFill="1" applyBorder="1" applyAlignment="1">
      <alignment horizontal="center"/>
    </xf>
    <xf numFmtId="15" fontId="53" fillId="44" borderId="9" xfId="4" applyNumberFormat="1" applyFont="1" applyFill="1" applyBorder="1" applyAlignment="1">
      <alignment horizontal="left"/>
    </xf>
    <xf numFmtId="15" fontId="53" fillId="44" borderId="0" xfId="4" applyNumberFormat="1" applyFont="1" applyFill="1" applyAlignment="1">
      <alignment horizontal="left"/>
    </xf>
    <xf numFmtId="0" fontId="54" fillId="44" borderId="0" xfId="0" applyFont="1" applyFill="1"/>
    <xf numFmtId="15" fontId="51" fillId="10" borderId="9" xfId="4" applyNumberFormat="1" applyFont="1" applyFill="1" applyBorder="1" applyAlignment="1">
      <alignment horizontal="left"/>
    </xf>
    <xf numFmtId="15" fontId="53" fillId="10" borderId="0" xfId="4" applyNumberFormat="1" applyFont="1" applyFill="1" applyAlignment="1">
      <alignment horizontal="left"/>
    </xf>
    <xf numFmtId="2" fontId="53" fillId="10" borderId="0" xfId="3" applyNumberFormat="1" applyFont="1" applyFill="1" applyBorder="1" applyAlignment="1">
      <alignment horizontal="center"/>
    </xf>
    <xf numFmtId="3" fontId="51" fillId="10" borderId="0" xfId="7" applyNumberFormat="1" applyFont="1" applyFill="1" applyBorder="1" applyAlignment="1">
      <alignment horizontal="right"/>
    </xf>
    <xf numFmtId="167" fontId="51" fillId="10" borderId="10" xfId="7" applyNumberFormat="1" applyFont="1" applyFill="1" applyBorder="1" applyAlignment="1">
      <alignment horizontal="right"/>
    </xf>
    <xf numFmtId="15" fontId="51" fillId="10" borderId="0" xfId="4" applyNumberFormat="1" applyFont="1" applyFill="1" applyAlignment="1">
      <alignment horizontal="left"/>
    </xf>
    <xf numFmtId="2" fontId="51" fillId="10" borderId="0" xfId="3" applyNumberFormat="1" applyFont="1" applyFill="1" applyBorder="1" applyAlignment="1">
      <alignment horizontal="center"/>
    </xf>
    <xf numFmtId="15" fontId="51" fillId="0" borderId="9" xfId="4" applyNumberFormat="1" applyFont="1" applyBorder="1" applyAlignment="1">
      <alignment horizontal="right"/>
    </xf>
    <xf numFmtId="15" fontId="51" fillId="44" borderId="19" xfId="4" applyNumberFormat="1" applyFont="1" applyFill="1" applyBorder="1" applyAlignment="1">
      <alignment horizontal="center"/>
    </xf>
    <xf numFmtId="15" fontId="51" fillId="44" borderId="21" xfId="4" applyNumberFormat="1" applyFont="1" applyFill="1" applyBorder="1" applyAlignment="1">
      <alignment horizontal="center"/>
    </xf>
    <xf numFmtId="15" fontId="51" fillId="44" borderId="58" xfId="4" applyNumberFormat="1" applyFont="1" applyFill="1" applyBorder="1" applyAlignment="1">
      <alignment horizontal="center"/>
    </xf>
    <xf numFmtId="0" fontId="51" fillId="44" borderId="24" xfId="0" applyFont="1" applyFill="1" applyBorder="1" applyAlignment="1">
      <alignment horizontal="center"/>
    </xf>
    <xf numFmtId="167" fontId="55" fillId="45" borderId="0" xfId="7" applyNumberFormat="1" applyFont="1" applyFill="1" applyBorder="1" applyAlignment="1">
      <alignment horizontal="right"/>
    </xf>
    <xf numFmtId="167" fontId="57" fillId="0" borderId="0" xfId="7" applyNumberFormat="1" applyFont="1" applyFill="1" applyBorder="1" applyAlignment="1">
      <alignment horizontal="right"/>
    </xf>
    <xf numFmtId="2" fontId="52" fillId="36" borderId="0" xfId="3" applyNumberFormat="1" applyFont="1" applyFill="1" applyBorder="1" applyAlignment="1">
      <alignment horizontal="center"/>
    </xf>
    <xf numFmtId="6" fontId="14" fillId="44" borderId="19" xfId="4" applyNumberFormat="1" applyFont="1" applyFill="1" applyBorder="1" applyAlignment="1">
      <alignment horizontal="center"/>
    </xf>
    <xf numFmtId="3" fontId="52" fillId="0" borderId="19" xfId="3" applyNumberFormat="1" applyFont="1" applyFill="1" applyBorder="1" applyAlignment="1">
      <alignment horizontal="right"/>
    </xf>
    <xf numFmtId="3" fontId="52" fillId="0" borderId="21" xfId="3" applyNumberFormat="1" applyFont="1" applyFill="1" applyBorder="1" applyAlignment="1">
      <alignment horizontal="right"/>
    </xf>
    <xf numFmtId="15" fontId="14" fillId="44" borderId="19" xfId="4" applyNumberFormat="1" applyFont="1" applyFill="1" applyBorder="1" applyAlignment="1">
      <alignment horizontal="center"/>
    </xf>
    <xf numFmtId="9" fontId="52" fillId="0" borderId="19" xfId="2" applyFont="1" applyFill="1" applyBorder="1" applyAlignment="1">
      <alignment horizontal="center"/>
    </xf>
    <xf numFmtId="9" fontId="52" fillId="0" borderId="21" xfId="2" applyFont="1" applyFill="1" applyBorder="1" applyAlignment="1">
      <alignment horizontal="center"/>
    </xf>
    <xf numFmtId="2" fontId="58" fillId="0" borderId="0" xfId="0" applyNumberFormat="1" applyFont="1" applyAlignment="1">
      <alignment horizontal="center"/>
    </xf>
    <xf numFmtId="3" fontId="52" fillId="0" borderId="20" xfId="3" applyNumberFormat="1" applyFont="1" applyFill="1" applyBorder="1" applyAlignment="1">
      <alignment horizontal="right"/>
    </xf>
    <xf numFmtId="0" fontId="59" fillId="0" borderId="0" xfId="0" applyFont="1" applyAlignment="1">
      <alignment horizontal="right" vertical="center"/>
    </xf>
    <xf numFmtId="0" fontId="60" fillId="0" borderId="0" xfId="0" applyFont="1" applyAlignment="1">
      <alignment horizontal="left" vertical="center"/>
    </xf>
    <xf numFmtId="0" fontId="3" fillId="46" borderId="0" xfId="0" applyFont="1" applyFill="1"/>
    <xf numFmtId="10" fontId="61" fillId="0" borderId="0" xfId="2" applyNumberFormat="1" applyFont="1" applyAlignment="1">
      <alignment horizontal="left" vertical="center"/>
    </xf>
    <xf numFmtId="2" fontId="5" fillId="0" borderId="0" xfId="0" applyNumberFormat="1" applyFont="1"/>
    <xf numFmtId="0" fontId="11" fillId="0" borderId="0" xfId="0" applyFont="1"/>
    <xf numFmtId="0" fontId="13" fillId="0" borderId="0" xfId="0" applyFont="1"/>
    <xf numFmtId="9" fontId="63" fillId="0" borderId="0" xfId="2" applyFont="1" applyAlignment="1">
      <alignment horizontal="center"/>
    </xf>
    <xf numFmtId="15" fontId="55" fillId="5" borderId="4" xfId="4" applyNumberFormat="1" applyFont="1" applyFill="1" applyBorder="1" applyAlignment="1">
      <alignment horizontal="right"/>
    </xf>
    <xf numFmtId="0" fontId="0" fillId="0" borderId="0" xfId="0" applyAlignment="1">
      <alignment vertical="top"/>
    </xf>
    <xf numFmtId="0" fontId="50" fillId="0" borderId="0" xfId="4" applyFont="1" applyAlignment="1">
      <alignment vertical="top"/>
    </xf>
    <xf numFmtId="182" fontId="50" fillId="0" borderId="0" xfId="4" applyNumberFormat="1" applyFont="1" applyAlignment="1">
      <alignment horizontal="center" vertical="top"/>
    </xf>
    <xf numFmtId="0" fontId="47" fillId="0" borderId="0" xfId="0" applyFont="1" applyAlignment="1">
      <alignment horizontal="left" vertical="top"/>
    </xf>
    <xf numFmtId="0" fontId="66" fillId="0" borderId="0" xfId="0" applyFont="1"/>
    <xf numFmtId="181" fontId="66" fillId="0" borderId="0" xfId="0" applyNumberFormat="1" applyFont="1" applyAlignment="1">
      <alignment horizontal="center"/>
    </xf>
    <xf numFmtId="2" fontId="66" fillId="0" borderId="0" xfId="0" applyNumberFormat="1" applyFont="1"/>
    <xf numFmtId="181" fontId="66" fillId="0" borderId="0" xfId="0" applyNumberFormat="1" applyFont="1"/>
    <xf numFmtId="181" fontId="66" fillId="0" borderId="0" xfId="0" applyNumberFormat="1" applyFont="1" applyAlignment="1">
      <alignment horizontal="left"/>
    </xf>
    <xf numFmtId="0" fontId="67" fillId="0" borderId="0" xfId="0" applyFont="1" applyAlignment="1">
      <alignment horizontal="center"/>
    </xf>
    <xf numFmtId="0" fontId="50" fillId="0" borderId="0" xfId="4" applyFont="1" applyAlignment="1">
      <alignment horizontal="right" vertical="top"/>
    </xf>
    <xf numFmtId="10" fontId="50" fillId="0" borderId="0" xfId="4" applyNumberFormat="1" applyFont="1" applyAlignment="1">
      <alignment horizontal="center" vertical="top"/>
    </xf>
    <xf numFmtId="0" fontId="64" fillId="0" borderId="0" xfId="0" applyFont="1" applyAlignment="1">
      <alignment vertical="top"/>
    </xf>
    <xf numFmtId="0" fontId="50" fillId="0" borderId="0" xfId="0" applyFont="1" applyAlignment="1">
      <alignment vertical="top"/>
    </xf>
    <xf numFmtId="0" fontId="50" fillId="42" borderId="0" xfId="0" applyFont="1" applyFill="1" applyAlignment="1">
      <alignment horizontal="center" vertical="top"/>
    </xf>
    <xf numFmtId="0" fontId="66" fillId="0" borderId="0" xfId="0" applyFont="1" applyAlignment="1">
      <alignment horizontal="center"/>
    </xf>
    <xf numFmtId="0" fontId="68" fillId="0" borderId="0" xfId="0" applyFont="1" applyAlignment="1">
      <alignment horizontal="left" vertical="center" readingOrder="1"/>
    </xf>
    <xf numFmtId="168" fontId="0" fillId="0" borderId="0" xfId="9" applyNumberFormat="1" applyFont="1" applyFill="1" applyBorder="1"/>
    <xf numFmtId="168" fontId="0" fillId="0" borderId="0" xfId="1" applyNumberFormat="1" applyFont="1" applyFill="1" applyBorder="1"/>
    <xf numFmtId="168" fontId="0" fillId="0" borderId="0" xfId="1" applyNumberFormat="1" applyFont="1" applyAlignment="1">
      <alignment horizontal="right"/>
    </xf>
    <xf numFmtId="0" fontId="9" fillId="0" borderId="0" xfId="0" applyFont="1" applyAlignment="1">
      <alignment horizontal="right"/>
    </xf>
    <xf numFmtId="10" fontId="9" fillId="0" borderId="0" xfId="2" applyNumberFormat="1" applyFont="1" applyFill="1" applyBorder="1" applyAlignment="1">
      <alignment horizontal="right"/>
    </xf>
    <xf numFmtId="0" fontId="9" fillId="0" borderId="0" xfId="0" applyFont="1" applyAlignment="1">
      <alignment horizontal="center"/>
    </xf>
    <xf numFmtId="3" fontId="9" fillId="0" borderId="0" xfId="0" applyNumberFormat="1" applyFont="1" applyAlignment="1">
      <alignment horizontal="right"/>
    </xf>
    <xf numFmtId="169" fontId="9" fillId="0" borderId="0" xfId="0" applyNumberFormat="1" applyFont="1"/>
    <xf numFmtId="9" fontId="0" fillId="0" borderId="0" xfId="2" applyFont="1" applyAlignment="1">
      <alignment horizontal="center"/>
    </xf>
    <xf numFmtId="0" fontId="0" fillId="0" borderId="51" xfId="0" applyBorder="1"/>
    <xf numFmtId="0" fontId="0" fillId="0" borderId="18" xfId="0" applyBorder="1"/>
    <xf numFmtId="0" fontId="0" fillId="0" borderId="20" xfId="0" applyBorder="1"/>
    <xf numFmtId="181" fontId="0" fillId="0" borderId="0" xfId="0" applyNumberFormat="1"/>
    <xf numFmtId="0" fontId="11" fillId="0" borderId="0" xfId="0" applyFont="1" applyAlignment="1">
      <alignment wrapText="1"/>
    </xf>
    <xf numFmtId="0" fontId="0" fillId="0" borderId="63" xfId="0" applyBorder="1" applyAlignment="1">
      <alignment horizontal="center" textRotation="90"/>
    </xf>
    <xf numFmtId="1" fontId="9" fillId="0" borderId="0" xfId="0" applyNumberFormat="1" applyFont="1" applyAlignment="1">
      <alignment horizontal="center"/>
    </xf>
    <xf numFmtId="10" fontId="52" fillId="0" borderId="0" xfId="2" applyNumberFormat="1" applyFont="1" applyFill="1" applyBorder="1" applyAlignment="1">
      <alignment horizontal="left" vertical="center"/>
    </xf>
    <xf numFmtId="0" fontId="9" fillId="0" borderId="0" xfId="0" applyFont="1" applyAlignment="1">
      <alignment horizontal="center" wrapText="1"/>
    </xf>
    <xf numFmtId="0" fontId="9" fillId="0" borderId="0" xfId="0" applyFont="1" applyAlignment="1">
      <alignment horizontal="left"/>
    </xf>
    <xf numFmtId="178" fontId="9" fillId="0" borderId="0" xfId="0" applyNumberFormat="1" applyFont="1" applyAlignment="1">
      <alignment horizontal="left"/>
    </xf>
    <xf numFmtId="178" fontId="9" fillId="0" borderId="0" xfId="0" applyNumberFormat="1" applyFont="1" applyAlignment="1">
      <alignment horizontal="right"/>
    </xf>
    <xf numFmtId="1" fontId="9" fillId="0" borderId="22" xfId="0" applyNumberFormat="1" applyFont="1" applyBorder="1" applyAlignment="1">
      <alignment horizontal="center"/>
    </xf>
    <xf numFmtId="1" fontId="9" fillId="0" borderId="42" xfId="0" applyNumberFormat="1" applyFont="1" applyBorder="1" applyAlignment="1">
      <alignment horizontal="center"/>
    </xf>
    <xf numFmtId="1" fontId="9" fillId="0" borderId="36" xfId="0" applyNumberFormat="1" applyFont="1" applyBorder="1" applyAlignment="1">
      <alignment horizontal="center"/>
    </xf>
    <xf numFmtId="1" fontId="9" fillId="0" borderId="37" xfId="0" applyNumberFormat="1" applyFont="1" applyBorder="1" applyAlignment="1">
      <alignment horizontal="center"/>
    </xf>
    <xf numFmtId="1" fontId="9" fillId="0" borderId="46" xfId="0" applyNumberFormat="1" applyFont="1" applyBorder="1" applyAlignment="1">
      <alignment horizontal="center"/>
    </xf>
    <xf numFmtId="1" fontId="9" fillId="0" borderId="39" xfId="0" applyNumberFormat="1" applyFont="1" applyBorder="1" applyAlignment="1">
      <alignment horizontal="center"/>
    </xf>
    <xf numFmtId="1" fontId="9" fillId="0" borderId="44" xfId="0" applyNumberFormat="1" applyFont="1" applyBorder="1" applyAlignment="1">
      <alignment horizontal="center"/>
    </xf>
    <xf numFmtId="1" fontId="9" fillId="0" borderId="40" xfId="0" applyNumberFormat="1" applyFont="1" applyBorder="1" applyAlignment="1">
      <alignment horizontal="center"/>
    </xf>
    <xf numFmtId="1" fontId="9" fillId="0" borderId="41" xfId="0" applyNumberFormat="1" applyFont="1" applyBorder="1" applyAlignment="1">
      <alignment horizontal="center"/>
    </xf>
    <xf numFmtId="3" fontId="5" fillId="0" borderId="44" xfId="0" applyNumberFormat="1" applyFont="1" applyBorder="1"/>
    <xf numFmtId="3" fontId="5" fillId="0" borderId="40" xfId="0" applyNumberFormat="1" applyFont="1" applyBorder="1"/>
    <xf numFmtId="3" fontId="5" fillId="0" borderId="41" xfId="0" applyNumberFormat="1" applyFont="1" applyBorder="1"/>
    <xf numFmtId="3" fontId="5" fillId="0" borderId="65" xfId="0" applyNumberFormat="1" applyFont="1" applyBorder="1"/>
    <xf numFmtId="3" fontId="5" fillId="0" borderId="23" xfId="0" applyNumberFormat="1" applyFont="1" applyBorder="1"/>
    <xf numFmtId="3" fontId="5" fillId="0" borderId="66" xfId="0" applyNumberFormat="1" applyFont="1" applyBorder="1"/>
    <xf numFmtId="178" fontId="9" fillId="0" borderId="63" xfId="0" applyNumberFormat="1" applyFont="1" applyBorder="1" applyAlignment="1">
      <alignment horizontal="center" textRotation="90" wrapText="1"/>
    </xf>
    <xf numFmtId="3" fontId="5" fillId="0" borderId="20" xfId="0" applyNumberFormat="1" applyFont="1" applyBorder="1"/>
    <xf numFmtId="3" fontId="5" fillId="0" borderId="69" xfId="0" applyNumberFormat="1" applyFont="1" applyBorder="1"/>
    <xf numFmtId="181" fontId="9" fillId="0" borderId="42" xfId="0" applyNumberFormat="1" applyFont="1" applyBorder="1" applyAlignment="1">
      <alignment horizontal="center"/>
    </xf>
    <xf numFmtId="181" fontId="9" fillId="0" borderId="36" xfId="0" applyNumberFormat="1" applyFont="1" applyBorder="1" applyAlignment="1">
      <alignment horizontal="center"/>
    </xf>
    <xf numFmtId="181" fontId="9" fillId="0" borderId="37" xfId="0" applyNumberFormat="1" applyFont="1" applyBorder="1" applyAlignment="1">
      <alignment horizontal="center"/>
    </xf>
    <xf numFmtId="181" fontId="9" fillId="0" borderId="67" xfId="0" applyNumberFormat="1" applyFont="1" applyBorder="1" applyAlignment="1">
      <alignment horizontal="center"/>
    </xf>
    <xf numFmtId="181" fontId="9" fillId="0" borderId="64" xfId="0" applyNumberFormat="1" applyFont="1" applyBorder="1" applyAlignment="1">
      <alignment horizontal="center"/>
    </xf>
    <xf numFmtId="181" fontId="9" fillId="0" borderId="46" xfId="0" applyNumberFormat="1" applyFont="1" applyBorder="1" applyAlignment="1">
      <alignment horizontal="center"/>
    </xf>
    <xf numFmtId="181" fontId="9" fillId="0" borderId="22" xfId="0" applyNumberFormat="1" applyFont="1" applyBorder="1" applyAlignment="1">
      <alignment horizontal="center"/>
    </xf>
    <xf numFmtId="181" fontId="9" fillId="0" borderId="39" xfId="0" applyNumberFormat="1" applyFont="1" applyBorder="1" applyAlignment="1">
      <alignment horizontal="center"/>
    </xf>
    <xf numFmtId="181" fontId="9" fillId="0" borderId="17" xfId="0" applyNumberFormat="1" applyFont="1" applyBorder="1" applyAlignment="1">
      <alignment horizontal="center"/>
    </xf>
    <xf numFmtId="181" fontId="9" fillId="0" borderId="16" xfId="0" applyNumberFormat="1" applyFont="1" applyBorder="1" applyAlignment="1">
      <alignment horizontal="center"/>
    </xf>
    <xf numFmtId="181" fontId="9" fillId="0" borderId="44" xfId="0" applyNumberFormat="1" applyFont="1" applyBorder="1" applyAlignment="1">
      <alignment horizontal="center"/>
    </xf>
    <xf numFmtId="181" fontId="9" fillId="0" borderId="40" xfId="0" applyNumberFormat="1" applyFont="1" applyBorder="1" applyAlignment="1">
      <alignment horizontal="center"/>
    </xf>
    <xf numFmtId="181" fontId="9" fillId="0" borderId="41" xfId="0" applyNumberFormat="1" applyFont="1" applyBorder="1" applyAlignment="1">
      <alignment horizontal="center"/>
    </xf>
    <xf numFmtId="181" fontId="9" fillId="0" borderId="52" xfId="0" applyNumberFormat="1" applyFont="1" applyBorder="1" applyAlignment="1">
      <alignment horizontal="center"/>
    </xf>
    <xf numFmtId="181" fontId="9" fillId="0" borderId="63" xfId="0" applyNumberFormat="1" applyFont="1" applyBorder="1" applyAlignment="1">
      <alignment horizontal="center"/>
    </xf>
    <xf numFmtId="181" fontId="9" fillId="0" borderId="51" xfId="0" applyNumberFormat="1" applyFont="1" applyBorder="1" applyAlignment="1">
      <alignment horizontal="center"/>
    </xf>
    <xf numFmtId="181" fontId="9" fillId="0" borderId="65" xfId="0" applyNumberFormat="1" applyFont="1" applyBorder="1" applyAlignment="1">
      <alignment horizontal="center"/>
    </xf>
    <xf numFmtId="181" fontId="9" fillId="0" borderId="23" xfId="0" applyNumberFormat="1" applyFont="1" applyBorder="1" applyAlignment="1">
      <alignment horizontal="center"/>
    </xf>
    <xf numFmtId="181" fontId="9" fillId="0" borderId="20" xfId="0" applyNumberFormat="1" applyFont="1" applyBorder="1" applyAlignment="1">
      <alignment horizontal="center"/>
    </xf>
    <xf numFmtId="181" fontId="9" fillId="0" borderId="21" xfId="0" applyNumberFormat="1" applyFont="1" applyBorder="1" applyAlignment="1">
      <alignment horizontal="center"/>
    </xf>
    <xf numFmtId="181" fontId="9" fillId="0" borderId="66" xfId="0" applyNumberFormat="1" applyFont="1" applyBorder="1" applyAlignment="1">
      <alignment horizontal="center"/>
    </xf>
    <xf numFmtId="9" fontId="0" fillId="0" borderId="0" xfId="2" applyFont="1" applyFill="1" applyBorder="1" applyAlignment="1">
      <alignment horizontal="center"/>
    </xf>
    <xf numFmtId="0" fontId="0" fillId="0" borderId="0" xfId="0" applyAlignment="1">
      <alignment horizontal="center" wrapText="1"/>
    </xf>
    <xf numFmtId="181" fontId="9" fillId="0" borderId="0" xfId="0" applyNumberFormat="1" applyFont="1" applyAlignment="1">
      <alignment horizontal="center"/>
    </xf>
    <xf numFmtId="3" fontId="13" fillId="0" borderId="0" xfId="0" applyNumberFormat="1" applyFont="1" applyAlignment="1">
      <alignment horizontal="right"/>
    </xf>
    <xf numFmtId="0" fontId="13" fillId="0" borderId="0" xfId="0" applyFont="1" applyAlignment="1">
      <alignment horizontal="left"/>
    </xf>
    <xf numFmtId="3" fontId="13" fillId="0" borderId="0" xfId="0" applyNumberFormat="1" applyFont="1"/>
    <xf numFmtId="168" fontId="13" fillId="0" borderId="0" xfId="0" applyNumberFormat="1" applyFont="1"/>
    <xf numFmtId="4" fontId="5" fillId="0" borderId="0" xfId="0" applyNumberFormat="1" applyFont="1" applyAlignment="1">
      <alignment horizontal="center"/>
    </xf>
    <xf numFmtId="4" fontId="5" fillId="6" borderId="0" xfId="0" applyNumberFormat="1" applyFont="1" applyFill="1" applyAlignment="1">
      <alignment horizontal="center"/>
    </xf>
    <xf numFmtId="0" fontId="5" fillId="6" borderId="0" xfId="0" applyFont="1" applyFill="1" applyAlignment="1">
      <alignment horizontal="center" wrapText="1"/>
    </xf>
    <xf numFmtId="178" fontId="7" fillId="6" borderId="0" xfId="0" applyNumberFormat="1" applyFont="1" applyFill="1" applyAlignment="1">
      <alignment horizontal="right"/>
    </xf>
    <xf numFmtId="178" fontId="7" fillId="0" borderId="0" xfId="0" applyNumberFormat="1" applyFont="1" applyAlignment="1">
      <alignment horizontal="right"/>
    </xf>
    <xf numFmtId="178" fontId="9" fillId="38" borderId="0" xfId="0" applyNumberFormat="1" applyFont="1" applyFill="1" applyAlignment="1">
      <alignment horizontal="right"/>
    </xf>
    <xf numFmtId="3" fontId="65" fillId="0" borderId="0" xfId="0" applyNumberFormat="1" applyFont="1" applyAlignment="1">
      <alignment horizontal="right"/>
    </xf>
    <xf numFmtId="0" fontId="0" fillId="0" borderId="16" xfId="0" applyBorder="1"/>
    <xf numFmtId="4" fontId="5" fillId="47" borderId="0" xfId="0" applyNumberFormat="1" applyFont="1" applyFill="1" applyAlignment="1">
      <alignment horizontal="center"/>
    </xf>
    <xf numFmtId="169" fontId="5" fillId="47" borderId="0" xfId="0" applyNumberFormat="1" applyFont="1" applyFill="1" applyAlignment="1">
      <alignment horizontal="centerContinuous"/>
    </xf>
    <xf numFmtId="168" fontId="0" fillId="0" borderId="0" xfId="9" applyNumberFormat="1" applyFont="1" applyFill="1" applyBorder="1" applyAlignment="1">
      <alignment horizontal="right"/>
    </xf>
    <xf numFmtId="3" fontId="7" fillId="0" borderId="0" xfId="0" applyNumberFormat="1" applyFont="1" applyAlignment="1">
      <alignment horizontal="right"/>
    </xf>
    <xf numFmtId="178" fontId="7" fillId="0" borderId="0" xfId="0" applyNumberFormat="1" applyFont="1" applyAlignment="1">
      <alignment horizontal="center" wrapText="1"/>
    </xf>
    <xf numFmtId="168" fontId="0" fillId="0" borderId="0" xfId="9" applyNumberFormat="1" applyFont="1" applyFill="1" applyBorder="1" applyAlignment="1">
      <alignment horizontal="center" wrapText="1"/>
    </xf>
    <xf numFmtId="168" fontId="0" fillId="0" borderId="0" xfId="9" applyNumberFormat="1" applyFont="1" applyFill="1" applyBorder="1" applyAlignment="1">
      <alignment horizontal="center"/>
    </xf>
    <xf numFmtId="168" fontId="9" fillId="0" borderId="0" xfId="0" applyNumberFormat="1" applyFont="1"/>
    <xf numFmtId="170" fontId="3" fillId="46" borderId="0" xfId="2" applyNumberFormat="1" applyFont="1" applyFill="1" applyBorder="1"/>
    <xf numFmtId="168" fontId="7" fillId="0" borderId="0" xfId="0" applyNumberFormat="1" applyFont="1"/>
    <xf numFmtId="168" fontId="5" fillId="0" borderId="0" xfId="9" applyNumberFormat="1" applyFont="1" applyFill="1" applyBorder="1" applyAlignment="1">
      <alignment horizontal="right"/>
    </xf>
    <xf numFmtId="170" fontId="5" fillId="0" borderId="0" xfId="2" applyNumberFormat="1" applyFont="1" applyAlignment="1">
      <alignment horizontal="center"/>
    </xf>
    <xf numFmtId="0" fontId="66" fillId="0" borderId="0" xfId="0" applyFont="1" applyAlignment="1">
      <alignment horizontal="right"/>
    </xf>
    <xf numFmtId="3" fontId="69" fillId="7" borderId="0" xfId="0" applyNumberFormat="1" applyFont="1" applyFill="1" applyAlignment="1">
      <alignment vertical="top"/>
    </xf>
    <xf numFmtId="10" fontId="0" fillId="0" borderId="0" xfId="2" applyNumberFormat="1" applyFont="1"/>
    <xf numFmtId="15" fontId="65" fillId="0" borderId="0" xfId="4" applyNumberFormat="1" applyFont="1" applyAlignment="1">
      <alignment horizontal="left"/>
    </xf>
    <xf numFmtId="10" fontId="65" fillId="0" borderId="0" xfId="2" applyNumberFormat="1" applyFont="1" applyFill="1" applyBorder="1" applyAlignment="1">
      <alignment horizontal="right"/>
    </xf>
    <xf numFmtId="3" fontId="65" fillId="0" borderId="0" xfId="3" applyNumberFormat="1" applyFont="1" applyFill="1" applyBorder="1" applyAlignment="1">
      <alignment horizontal="right"/>
    </xf>
    <xf numFmtId="15" fontId="13" fillId="0" borderId="0" xfId="4" applyNumberFormat="1" applyFont="1" applyAlignment="1">
      <alignment horizontal="center"/>
    </xf>
    <xf numFmtId="0" fontId="65" fillId="0" borderId="0" xfId="0" applyFont="1"/>
    <xf numFmtId="167" fontId="65" fillId="0" borderId="0" xfId="0" applyNumberFormat="1" applyFont="1"/>
    <xf numFmtId="10" fontId="66" fillId="0" borderId="0" xfId="2" applyNumberFormat="1" applyFont="1"/>
    <xf numFmtId="181" fontId="62" fillId="0" borderId="0" xfId="0" applyNumberFormat="1" applyFont="1" applyAlignment="1">
      <alignment horizontal="left"/>
    </xf>
    <xf numFmtId="9" fontId="18" fillId="0" borderId="0" xfId="2" applyFont="1" applyFill="1" applyBorder="1" applyAlignment="1">
      <alignment horizontal="center"/>
    </xf>
    <xf numFmtId="178" fontId="9" fillId="0" borderId="0" xfId="0" applyNumberFormat="1" applyFont="1" applyAlignment="1">
      <alignment horizontal="center"/>
    </xf>
    <xf numFmtId="169" fontId="9" fillId="0" borderId="0" xfId="0" applyNumberFormat="1" applyFont="1" applyAlignment="1">
      <alignment horizontal="center"/>
    </xf>
    <xf numFmtId="170" fontId="70" fillId="0" borderId="0" xfId="2" applyNumberFormat="1" applyFont="1" applyFill="1" applyBorder="1" applyAlignment="1">
      <alignment horizontal="center"/>
    </xf>
    <xf numFmtId="183" fontId="0" fillId="0" borderId="0" xfId="0" applyNumberFormat="1"/>
    <xf numFmtId="0" fontId="71" fillId="0" borderId="0" xfId="0" applyFont="1"/>
    <xf numFmtId="3" fontId="5" fillId="0" borderId="37" xfId="0" applyNumberFormat="1" applyFont="1" applyBorder="1"/>
    <xf numFmtId="3" fontId="5" fillId="0" borderId="39" xfId="0" applyNumberFormat="1" applyFont="1" applyBorder="1"/>
    <xf numFmtId="178" fontId="4" fillId="0" borderId="0" xfId="0" applyNumberFormat="1" applyFont="1" applyAlignment="1">
      <alignment horizontal="center"/>
    </xf>
    <xf numFmtId="169" fontId="4" fillId="0" borderId="0" xfId="0" applyNumberFormat="1" applyFont="1" applyAlignment="1">
      <alignment horizontal="center"/>
    </xf>
    <xf numFmtId="9" fontId="9" fillId="0" borderId="0" xfId="2" applyFont="1"/>
    <xf numFmtId="3" fontId="67" fillId="0" borderId="0" xfId="0" applyNumberFormat="1" applyFont="1"/>
    <xf numFmtId="1" fontId="66" fillId="0" borderId="0" xfId="0" applyNumberFormat="1" applyFont="1" applyAlignment="1">
      <alignment horizontal="right"/>
    </xf>
    <xf numFmtId="169" fontId="66" fillId="0" borderId="0" xfId="0" applyNumberFormat="1" applyFont="1" applyAlignment="1">
      <alignment horizontal="center"/>
    </xf>
    <xf numFmtId="3" fontId="57" fillId="0" borderId="0" xfId="7" applyNumberFormat="1" applyFont="1" applyFill="1" applyBorder="1" applyAlignment="1">
      <alignment horizontal="right"/>
    </xf>
    <xf numFmtId="10" fontId="4" fillId="0" borderId="0" xfId="2" applyNumberFormat="1" applyFont="1"/>
    <xf numFmtId="9" fontId="7" fillId="0" borderId="24" xfId="2" applyFont="1" applyBorder="1" applyAlignment="1">
      <alignment horizontal="center"/>
    </xf>
    <xf numFmtId="178" fontId="7" fillId="0" borderId="0" xfId="0" applyNumberFormat="1" applyFont="1" applyAlignment="1">
      <alignment horizontal="center"/>
    </xf>
    <xf numFmtId="3" fontId="9" fillId="0" borderId="0" xfId="3" applyNumberFormat="1" applyFont="1" applyFill="1" applyBorder="1" applyAlignment="1">
      <alignment horizontal="right"/>
    </xf>
    <xf numFmtId="3" fontId="9" fillId="0" borderId="24" xfId="3" applyNumberFormat="1" applyFont="1" applyFill="1" applyBorder="1" applyAlignment="1">
      <alignment horizontal="right"/>
    </xf>
    <xf numFmtId="10" fontId="7" fillId="0" borderId="0" xfId="2" applyNumberFormat="1" applyFont="1" applyAlignment="1">
      <alignment horizontal="center"/>
    </xf>
    <xf numFmtId="15" fontId="14" fillId="0" borderId="0" xfId="4" quotePrefix="1" applyNumberFormat="1" applyFont="1" applyAlignment="1">
      <alignment horizontal="center"/>
    </xf>
    <xf numFmtId="167" fontId="3" fillId="4" borderId="0" xfId="0" applyNumberFormat="1" applyFont="1" applyFill="1"/>
    <xf numFmtId="15" fontId="14" fillId="0" borderId="0" xfId="4" quotePrefix="1" applyNumberFormat="1" applyFont="1" applyAlignment="1">
      <alignment horizontal="left"/>
    </xf>
    <xf numFmtId="167" fontId="7" fillId="0" borderId="0" xfId="3" applyNumberFormat="1" applyFont="1" applyFill="1" applyBorder="1" applyAlignment="1">
      <alignment horizontal="right"/>
    </xf>
    <xf numFmtId="167" fontId="9" fillId="0" borderId="0" xfId="7" applyNumberFormat="1" applyFont="1" applyFill="1" applyBorder="1" applyAlignment="1">
      <alignment horizontal="right"/>
    </xf>
    <xf numFmtId="9" fontId="9" fillId="0" borderId="0" xfId="2" applyFont="1" applyFill="1" applyAlignment="1">
      <alignment horizontal="center"/>
    </xf>
    <xf numFmtId="9" fontId="9" fillId="0" borderId="24" xfId="2" applyFont="1" applyFill="1" applyBorder="1" applyAlignment="1">
      <alignment horizontal="center"/>
    </xf>
    <xf numFmtId="4" fontId="5" fillId="38" borderId="0" xfId="0" applyNumberFormat="1" applyFont="1" applyFill="1" applyAlignment="1">
      <alignment horizontal="center"/>
    </xf>
    <xf numFmtId="0" fontId="66" fillId="0" borderId="0" xfId="0" applyFont="1" applyAlignment="1">
      <alignment horizontal="center" wrapText="1"/>
    </xf>
    <xf numFmtId="169" fontId="5" fillId="47" borderId="16" xfId="0" applyNumberFormat="1" applyFont="1" applyFill="1" applyBorder="1" applyAlignment="1">
      <alignment horizontal="centerContinuous"/>
    </xf>
    <xf numFmtId="2" fontId="5" fillId="47" borderId="22" xfId="0" applyNumberFormat="1" applyFont="1" applyFill="1" applyBorder="1" applyAlignment="1">
      <alignment horizontal="centerContinuous"/>
    </xf>
    <xf numFmtId="2" fontId="5" fillId="47" borderId="16" xfId="0" applyNumberFormat="1" applyFont="1" applyFill="1" applyBorder="1" applyAlignment="1">
      <alignment horizontal="centerContinuous"/>
    </xf>
    <xf numFmtId="2" fontId="9" fillId="0" borderId="0" xfId="0" applyNumberFormat="1" applyFont="1" applyAlignment="1">
      <alignment horizontal="left"/>
    </xf>
    <xf numFmtId="2" fontId="0" fillId="0" borderId="0" xfId="0" applyNumberFormat="1" applyAlignment="1">
      <alignment horizontal="centerContinuous"/>
    </xf>
    <xf numFmtId="3" fontId="4" fillId="0" borderId="0" xfId="9" applyNumberFormat="1" applyFont="1" applyFill="1" applyBorder="1"/>
    <xf numFmtId="2" fontId="5" fillId="38" borderId="17" xfId="0" applyNumberFormat="1" applyFont="1" applyFill="1" applyBorder="1" applyAlignment="1">
      <alignment horizontal="center"/>
    </xf>
    <xf numFmtId="2" fontId="5" fillId="38" borderId="22" xfId="0" applyNumberFormat="1" applyFont="1" applyFill="1" applyBorder="1" applyAlignment="1">
      <alignment horizontal="center"/>
    </xf>
    <xf numFmtId="2" fontId="5" fillId="38" borderId="22" xfId="0" applyNumberFormat="1" applyFont="1" applyFill="1" applyBorder="1" applyAlignment="1">
      <alignment horizontal="centerContinuous"/>
    </xf>
    <xf numFmtId="169" fontId="5" fillId="38" borderId="15" xfId="0" applyNumberFormat="1" applyFont="1" applyFill="1" applyBorder="1" applyAlignment="1">
      <alignment horizontal="centerContinuous"/>
    </xf>
    <xf numFmtId="169" fontId="5" fillId="38" borderId="17" xfId="0" applyNumberFormat="1" applyFont="1" applyFill="1" applyBorder="1" applyAlignment="1">
      <alignment horizontal="centerContinuous"/>
    </xf>
    <xf numFmtId="2" fontId="0" fillId="0" borderId="0" xfId="0" applyNumberFormat="1" applyAlignment="1">
      <alignment horizontal="center"/>
    </xf>
    <xf numFmtId="2" fontId="5" fillId="38" borderId="15" xfId="0" applyNumberFormat="1" applyFont="1" applyFill="1" applyBorder="1" applyAlignment="1">
      <alignment horizontal="centerContinuous"/>
    </xf>
    <xf numFmtId="2" fontId="5" fillId="38" borderId="17" xfId="0" applyNumberFormat="1" applyFont="1" applyFill="1" applyBorder="1" applyAlignment="1">
      <alignment horizontal="centerContinuous"/>
    </xf>
    <xf numFmtId="170" fontId="66" fillId="0" borderId="0" xfId="2" applyNumberFormat="1" applyFont="1"/>
    <xf numFmtId="4" fontId="0" fillId="0" borderId="0" xfId="0" applyNumberFormat="1" applyAlignment="1">
      <alignment horizontal="center"/>
    </xf>
    <xf numFmtId="4" fontId="0" fillId="0" borderId="19" xfId="0" applyNumberFormat="1" applyBorder="1" applyAlignment="1">
      <alignment horizontal="center"/>
    </xf>
    <xf numFmtId="0" fontId="6" fillId="8" borderId="22" xfId="10" applyFont="1" applyFill="1" applyBorder="1" applyAlignment="1">
      <alignment horizontal="right"/>
    </xf>
    <xf numFmtId="0" fontId="6" fillId="8" borderId="23" xfId="10" applyFont="1" applyFill="1" applyBorder="1" applyAlignment="1">
      <alignment horizontal="right"/>
    </xf>
    <xf numFmtId="0" fontId="9" fillId="7" borderId="22" xfId="10" applyFont="1" applyFill="1" applyBorder="1" applyAlignment="1">
      <alignment horizontal="right"/>
    </xf>
    <xf numFmtId="0" fontId="6" fillId="41" borderId="0" xfId="0" applyFont="1" applyFill="1" applyAlignment="1">
      <alignment horizontal="center"/>
    </xf>
    <xf numFmtId="3" fontId="66" fillId="0" borderId="0" xfId="0" applyNumberFormat="1" applyFont="1"/>
    <xf numFmtId="2" fontId="67" fillId="0" borderId="0" xfId="0" applyNumberFormat="1" applyFont="1"/>
    <xf numFmtId="0" fontId="68" fillId="0" borderId="0" xfId="0" applyFont="1" applyAlignment="1">
      <alignment horizontal="right" vertical="center" readingOrder="1"/>
    </xf>
    <xf numFmtId="3" fontId="66" fillId="0" borderId="0" xfId="0" applyNumberFormat="1" applyFont="1" applyAlignment="1">
      <alignment horizontal="center"/>
    </xf>
    <xf numFmtId="0" fontId="6" fillId="8" borderId="22" xfId="10" applyFont="1" applyFill="1" applyBorder="1" applyAlignment="1">
      <alignment horizontal="right" vertical="center"/>
    </xf>
    <xf numFmtId="0" fontId="6" fillId="8" borderId="22" xfId="10" applyFont="1" applyFill="1" applyBorder="1" applyAlignment="1">
      <alignment horizontal="center" vertical="center" wrapText="1"/>
    </xf>
    <xf numFmtId="3" fontId="0" fillId="0" borderId="22" xfId="10" applyNumberFormat="1" applyFont="1" applyBorder="1" applyAlignment="1">
      <alignment horizontal="right"/>
    </xf>
    <xf numFmtId="0" fontId="6" fillId="37" borderId="0" xfId="0" applyFont="1" applyFill="1" applyAlignment="1">
      <alignment horizontal="center"/>
    </xf>
    <xf numFmtId="0" fontId="6" fillId="49" borderId="0" xfId="0" applyFont="1" applyFill="1" applyAlignment="1">
      <alignment horizontal="center"/>
    </xf>
    <xf numFmtId="0" fontId="6" fillId="8" borderId="23" xfId="10" applyFont="1" applyFill="1" applyBorder="1"/>
    <xf numFmtId="0" fontId="9" fillId="7" borderId="22" xfId="10" applyFont="1" applyFill="1" applyBorder="1"/>
    <xf numFmtId="0" fontId="6" fillId="8" borderId="22" xfId="10" applyFont="1" applyFill="1" applyBorder="1"/>
    <xf numFmtId="3" fontId="5" fillId="0" borderId="0" xfId="10" applyNumberFormat="1" applyFont="1" applyAlignment="1">
      <alignment horizontal="right"/>
    </xf>
    <xf numFmtId="171" fontId="5" fillId="0" borderId="0" xfId="0" applyNumberFormat="1" applyFont="1"/>
    <xf numFmtId="9" fontId="16" fillId="0" borderId="0" xfId="2" applyFont="1"/>
    <xf numFmtId="0" fontId="16" fillId="0" borderId="0" xfId="0" applyFont="1" applyAlignment="1">
      <alignment horizontal="right"/>
    </xf>
    <xf numFmtId="9" fontId="66" fillId="0" borderId="0" xfId="2" applyFont="1"/>
    <xf numFmtId="167" fontId="55" fillId="4" borderId="10" xfId="4" applyNumberFormat="1" applyFont="1" applyFill="1" applyBorder="1"/>
    <xf numFmtId="0" fontId="16" fillId="0" borderId="24" xfId="0" applyFont="1" applyBorder="1"/>
    <xf numFmtId="2" fontId="0" fillId="0" borderId="24" xfId="0" applyNumberFormat="1" applyBorder="1"/>
    <xf numFmtId="9" fontId="0" fillId="0" borderId="16" xfId="2" applyFont="1" applyBorder="1"/>
    <xf numFmtId="0" fontId="0" fillId="0" borderId="90" xfId="0" applyBorder="1"/>
    <xf numFmtId="0" fontId="0" fillId="0" borderId="43" xfId="0" applyBorder="1"/>
    <xf numFmtId="0" fontId="0" fillId="0" borderId="85" xfId="0" applyBorder="1"/>
    <xf numFmtId="0" fontId="0" fillId="50" borderId="22" xfId="0" applyFill="1" applyBorder="1"/>
    <xf numFmtId="9" fontId="5" fillId="51" borderId="16" xfId="2" applyFont="1" applyFill="1" applyBorder="1" applyAlignment="1">
      <alignment horizontal="center"/>
    </xf>
    <xf numFmtId="0" fontId="6" fillId="37" borderId="89" xfId="0" applyFont="1" applyFill="1" applyBorder="1" applyAlignment="1">
      <alignment horizontal="center"/>
    </xf>
    <xf numFmtId="0" fontId="6" fillId="37" borderId="82" xfId="0" applyFont="1" applyFill="1" applyBorder="1" applyAlignment="1">
      <alignment horizontal="center"/>
    </xf>
    <xf numFmtId="0" fontId="6" fillId="49" borderId="82" xfId="0" applyFont="1" applyFill="1" applyBorder="1" applyAlignment="1">
      <alignment horizontal="center"/>
    </xf>
    <xf numFmtId="0" fontId="6" fillId="41" borderId="82" xfId="0" applyFont="1" applyFill="1" applyBorder="1" applyAlignment="1">
      <alignment horizontal="center"/>
    </xf>
    <xf numFmtId="0" fontId="6" fillId="41" borderId="83" xfId="0" applyFont="1" applyFill="1" applyBorder="1" applyAlignment="1">
      <alignment horizontal="center"/>
    </xf>
    <xf numFmtId="0" fontId="0" fillId="0" borderId="63" xfId="0" applyBorder="1"/>
    <xf numFmtId="9" fontId="0" fillId="0" borderId="51" xfId="2" applyFont="1" applyBorder="1"/>
    <xf numFmtId="178" fontId="9" fillId="48" borderId="93" xfId="0" applyNumberFormat="1" applyFont="1" applyFill="1" applyBorder="1" applyAlignment="1">
      <alignment horizontal="center" textRotation="90" wrapText="1"/>
    </xf>
    <xf numFmtId="178" fontId="9" fillId="48" borderId="91" xfId="0" applyNumberFormat="1" applyFont="1" applyFill="1" applyBorder="1" applyAlignment="1">
      <alignment horizontal="center" textRotation="90" wrapText="1"/>
    </xf>
    <xf numFmtId="178" fontId="9" fillId="48" borderId="94" xfId="0" applyNumberFormat="1" applyFont="1" applyFill="1" applyBorder="1" applyAlignment="1">
      <alignment horizontal="center" textRotation="90" wrapText="1"/>
    </xf>
    <xf numFmtId="178" fontId="9" fillId="0" borderId="89" xfId="0" applyNumberFormat="1" applyFont="1" applyBorder="1" applyAlignment="1">
      <alignment horizontal="center" textRotation="90" wrapText="1"/>
    </xf>
    <xf numFmtId="178" fontId="9" fillId="0" borderId="83" xfId="0" applyNumberFormat="1" applyFont="1" applyBorder="1" applyAlignment="1">
      <alignment horizontal="center" textRotation="90" wrapText="1"/>
    </xf>
    <xf numFmtId="178" fontId="9" fillId="0" borderId="88" xfId="0" applyNumberFormat="1" applyFont="1" applyBorder="1" applyAlignment="1">
      <alignment horizontal="center" textRotation="90" wrapText="1"/>
    </xf>
    <xf numFmtId="178" fontId="9" fillId="0" borderId="82" xfId="0" applyNumberFormat="1" applyFont="1" applyBorder="1" applyAlignment="1">
      <alignment horizontal="center" textRotation="90" wrapText="1"/>
    </xf>
    <xf numFmtId="9" fontId="0" fillId="0" borderId="42" xfId="2" applyFont="1" applyBorder="1" applyAlignment="1">
      <alignment horizontal="right"/>
    </xf>
    <xf numFmtId="1" fontId="0" fillId="0" borderId="42" xfId="0" applyNumberFormat="1" applyBorder="1" applyAlignment="1">
      <alignment horizontal="center"/>
    </xf>
    <xf numFmtId="1" fontId="0" fillId="0" borderId="36" xfId="0" applyNumberFormat="1" applyBorder="1" applyAlignment="1">
      <alignment horizontal="center"/>
    </xf>
    <xf numFmtId="1" fontId="0" fillId="0" borderId="37" xfId="0" applyNumberFormat="1" applyBorder="1" applyAlignment="1">
      <alignment horizontal="center"/>
    </xf>
    <xf numFmtId="0" fontId="0" fillId="0" borderId="37" xfId="0" applyBorder="1"/>
    <xf numFmtId="3" fontId="0" fillId="0" borderId="67" xfId="0" applyNumberFormat="1" applyBorder="1"/>
    <xf numFmtId="3" fontId="0" fillId="0" borderId="36" xfId="0" applyNumberFormat="1" applyBorder="1"/>
    <xf numFmtId="0" fontId="0" fillId="0" borderId="36" xfId="0" applyBorder="1"/>
    <xf numFmtId="9" fontId="0" fillId="0" borderId="46" xfId="2" applyFont="1" applyBorder="1" applyAlignment="1">
      <alignment horizontal="right"/>
    </xf>
    <xf numFmtId="1" fontId="0" fillId="0" borderId="46" xfId="0" applyNumberFormat="1" applyBorder="1" applyAlignment="1">
      <alignment horizontal="center"/>
    </xf>
    <xf numFmtId="1" fontId="0" fillId="0" borderId="22" xfId="0" applyNumberFormat="1" applyBorder="1" applyAlignment="1">
      <alignment horizontal="center"/>
    </xf>
    <xf numFmtId="1" fontId="0" fillId="0" borderId="39" xfId="0" applyNumberFormat="1" applyBorder="1" applyAlignment="1">
      <alignment horizontal="center"/>
    </xf>
    <xf numFmtId="0" fontId="0" fillId="0" borderId="39" xfId="0" applyBorder="1"/>
    <xf numFmtId="0" fontId="0" fillId="0" borderId="17" xfId="0" applyBorder="1"/>
    <xf numFmtId="0" fontId="0" fillId="0" borderId="95" xfId="0" applyBorder="1"/>
    <xf numFmtId="9" fontId="0" fillId="0" borderId="7" xfId="2" applyFont="1" applyBorder="1"/>
    <xf numFmtId="0" fontId="0" fillId="0" borderId="44" xfId="0" applyBorder="1"/>
    <xf numFmtId="0" fontId="0" fillId="0" borderId="41" xfId="0" applyBorder="1"/>
    <xf numFmtId="0" fontId="0" fillId="0" borderId="40" xfId="0" applyBorder="1"/>
    <xf numFmtId="179" fontId="0" fillId="0" borderId="42" xfId="1" applyNumberFormat="1" applyFont="1" applyBorder="1"/>
    <xf numFmtId="9" fontId="0" fillId="0" borderId="44" xfId="2" applyFont="1" applyBorder="1" applyAlignment="1">
      <alignment horizontal="right"/>
    </xf>
    <xf numFmtId="179" fontId="0" fillId="0" borderId="44" xfId="1" applyNumberFormat="1" applyFont="1" applyBorder="1"/>
    <xf numFmtId="9" fontId="0" fillId="0" borderId="89" xfId="2" applyFont="1" applyBorder="1" applyAlignment="1">
      <alignment horizontal="right"/>
    </xf>
    <xf numFmtId="9" fontId="0" fillId="0" borderId="83" xfId="2" applyFont="1" applyBorder="1"/>
    <xf numFmtId="179" fontId="0" fillId="0" borderId="89" xfId="1" applyNumberFormat="1" applyFont="1" applyBorder="1"/>
    <xf numFmtId="179" fontId="0" fillId="0" borderId="82" xfId="1" applyNumberFormat="1" applyFont="1" applyBorder="1"/>
    <xf numFmtId="179" fontId="0" fillId="0" borderId="83" xfId="1" applyNumberFormat="1" applyFont="1" applyBorder="1"/>
    <xf numFmtId="9" fontId="0" fillId="0" borderId="65" xfId="2" applyFont="1" applyBorder="1" applyAlignment="1">
      <alignment horizontal="right"/>
    </xf>
    <xf numFmtId="9" fontId="0" fillId="0" borderId="66" xfId="2" applyFont="1" applyBorder="1"/>
    <xf numFmtId="0" fontId="9" fillId="7" borderId="86" xfId="10" applyFont="1" applyFill="1" applyBorder="1" applyProtection="1">
      <protection hidden="1"/>
    </xf>
    <xf numFmtId="3" fontId="0" fillId="7" borderId="53" xfId="0" applyNumberFormat="1" applyFill="1" applyBorder="1" applyProtection="1">
      <protection hidden="1"/>
    </xf>
    <xf numFmtId="0" fontId="9" fillId="7" borderId="38" xfId="10" applyFont="1" applyFill="1" applyBorder="1" applyProtection="1">
      <protection hidden="1"/>
    </xf>
    <xf numFmtId="3" fontId="9" fillId="7" borderId="70" xfId="0" applyNumberFormat="1" applyFont="1" applyFill="1" applyBorder="1" applyProtection="1">
      <protection hidden="1"/>
    </xf>
    <xf numFmtId="3" fontId="0" fillId="7" borderId="70" xfId="0" applyNumberFormat="1" applyFill="1" applyBorder="1" applyProtection="1">
      <protection hidden="1"/>
    </xf>
    <xf numFmtId="0" fontId="9" fillId="7" borderId="96" xfId="10" applyFont="1" applyFill="1" applyBorder="1" applyProtection="1">
      <protection hidden="1"/>
    </xf>
    <xf numFmtId="3" fontId="0" fillId="7" borderId="97" xfId="0" applyNumberFormat="1" applyFill="1" applyBorder="1" applyProtection="1">
      <protection hidden="1"/>
    </xf>
    <xf numFmtId="0" fontId="6" fillId="8" borderId="86" xfId="10" applyFont="1" applyFill="1" applyBorder="1" applyProtection="1">
      <protection hidden="1"/>
    </xf>
    <xf numFmtId="3" fontId="7" fillId="7" borderId="53" xfId="0" applyNumberFormat="1" applyFont="1" applyFill="1" applyBorder="1" applyProtection="1">
      <protection hidden="1"/>
    </xf>
    <xf numFmtId="0" fontId="6" fillId="8" borderId="72" xfId="10" applyFont="1" applyFill="1" applyBorder="1" applyProtection="1">
      <protection hidden="1"/>
    </xf>
    <xf numFmtId="3" fontId="7" fillId="7" borderId="87" xfId="0" applyNumberFormat="1" applyFont="1" applyFill="1" applyBorder="1" applyProtection="1">
      <protection hidden="1"/>
    </xf>
    <xf numFmtId="0" fontId="0" fillId="7" borderId="0" xfId="0" applyFill="1" applyAlignment="1" applyProtection="1">
      <alignment horizontal="left"/>
      <protection hidden="1"/>
    </xf>
    <xf numFmtId="3" fontId="9" fillId="7" borderId="0" xfId="0" applyNumberFormat="1" applyFont="1" applyFill="1" applyProtection="1">
      <protection hidden="1"/>
    </xf>
    <xf numFmtId="3" fontId="9" fillId="7" borderId="86" xfId="0" applyNumberFormat="1" applyFont="1" applyFill="1" applyBorder="1" applyProtection="1">
      <protection hidden="1"/>
    </xf>
    <xf numFmtId="3" fontId="9" fillId="7" borderId="96" xfId="0" applyNumberFormat="1" applyFont="1" applyFill="1" applyBorder="1" applyProtection="1">
      <protection hidden="1"/>
    </xf>
    <xf numFmtId="0" fontId="6" fillId="8" borderId="13" xfId="10" applyFont="1" applyFill="1" applyBorder="1" applyProtection="1">
      <protection hidden="1"/>
    </xf>
    <xf numFmtId="3" fontId="7" fillId="7" borderId="13" xfId="0" applyNumberFormat="1" applyFont="1" applyFill="1" applyBorder="1" applyProtection="1">
      <protection hidden="1"/>
    </xf>
    <xf numFmtId="0" fontId="9" fillId="7" borderId="59" xfId="10" applyFont="1" applyFill="1" applyBorder="1" applyProtection="1">
      <protection hidden="1"/>
    </xf>
    <xf numFmtId="3" fontId="9" fillId="7" borderId="59" xfId="0" applyNumberFormat="1" applyFont="1" applyFill="1" applyBorder="1" applyProtection="1">
      <protection hidden="1"/>
    </xf>
    <xf numFmtId="0" fontId="6" fillId="8" borderId="13" xfId="10" applyFont="1" applyFill="1" applyBorder="1" applyAlignment="1" applyProtection="1">
      <alignment horizontal="center"/>
      <protection hidden="1"/>
    </xf>
    <xf numFmtId="0" fontId="6" fillId="8" borderId="7" xfId="10" applyFont="1" applyFill="1" applyBorder="1" applyAlignment="1" applyProtection="1">
      <alignment horizontal="left"/>
      <protection hidden="1"/>
    </xf>
    <xf numFmtId="0" fontId="6" fillId="8" borderId="96" xfId="10" applyFont="1" applyFill="1" applyBorder="1" applyAlignment="1" applyProtection="1">
      <alignment horizontal="left"/>
      <protection hidden="1"/>
    </xf>
    <xf numFmtId="0" fontId="6" fillId="8" borderId="72" xfId="10" applyFont="1" applyFill="1" applyBorder="1" applyAlignment="1" applyProtection="1">
      <alignment horizontal="left"/>
      <protection hidden="1"/>
    </xf>
    <xf numFmtId="170" fontId="0" fillId="0" borderId="72" xfId="2" applyNumberFormat="1" applyFont="1" applyBorder="1" applyAlignment="1">
      <alignment horizontal="center"/>
    </xf>
    <xf numFmtId="0" fontId="0" fillId="37" borderId="0" xfId="0" applyFill="1" applyAlignment="1">
      <alignment horizontal="center" vertical="center" wrapText="1"/>
    </xf>
    <xf numFmtId="0" fontId="0" fillId="48" borderId="64" xfId="0" applyFill="1" applyBorder="1"/>
    <xf numFmtId="0" fontId="0" fillId="48" borderId="16" xfId="0" applyFill="1" applyBorder="1"/>
    <xf numFmtId="0" fontId="0" fillId="48" borderId="51" xfId="0" applyFill="1" applyBorder="1"/>
    <xf numFmtId="0" fontId="0" fillId="0" borderId="67" xfId="0" applyBorder="1"/>
    <xf numFmtId="0" fontId="0" fillId="0" borderId="93" xfId="0" applyBorder="1" applyAlignment="1">
      <alignment horizontal="center"/>
    </xf>
    <xf numFmtId="0" fontId="0" fillId="0" borderId="91" xfId="0" applyBorder="1" applyAlignment="1">
      <alignment horizontal="center"/>
    </xf>
    <xf numFmtId="0" fontId="0" fillId="0" borderId="94" xfId="0" applyBorder="1" applyAlignment="1">
      <alignment horizontal="center"/>
    </xf>
    <xf numFmtId="1" fontId="0" fillId="0" borderId="44" xfId="0" applyNumberFormat="1" applyBorder="1" applyAlignment="1">
      <alignment horizontal="center"/>
    </xf>
    <xf numFmtId="1" fontId="0" fillId="0" borderId="40" xfId="0" applyNumberFormat="1" applyBorder="1" applyAlignment="1">
      <alignment horizontal="center"/>
    </xf>
    <xf numFmtId="1" fontId="0" fillId="0" borderId="41" xfId="0" applyNumberFormat="1" applyBorder="1" applyAlignment="1">
      <alignment horizontal="center"/>
    </xf>
    <xf numFmtId="9" fontId="0" fillId="0" borderId="69" xfId="2" applyFont="1" applyBorder="1"/>
    <xf numFmtId="179" fontId="0" fillId="0" borderId="93" xfId="1" applyNumberFormat="1" applyFont="1" applyBorder="1"/>
    <xf numFmtId="179" fontId="0" fillId="0" borderId="91" xfId="1" applyNumberFormat="1" applyFont="1" applyBorder="1"/>
    <xf numFmtId="179" fontId="0" fillId="0" borderId="94" xfId="1" applyNumberFormat="1" applyFont="1" applyBorder="1"/>
    <xf numFmtId="178" fontId="9" fillId="0" borderId="85" xfId="0" applyNumberFormat="1" applyFont="1" applyBorder="1" applyAlignment="1">
      <alignment horizontal="center" textRotation="90" wrapText="1"/>
    </xf>
    <xf numFmtId="0" fontId="0" fillId="0" borderId="64" xfId="0" applyBorder="1"/>
    <xf numFmtId="0" fontId="0" fillId="0" borderId="98" xfId="0" applyBorder="1"/>
    <xf numFmtId="172" fontId="5" fillId="0" borderId="89" xfId="0" applyNumberFormat="1" applyFont="1" applyBorder="1"/>
    <xf numFmtId="172" fontId="5" fillId="0" borderId="86" xfId="0" applyNumberFormat="1" applyFont="1" applyBorder="1"/>
    <xf numFmtId="178" fontId="0" fillId="0" borderId="86" xfId="0" applyNumberFormat="1" applyBorder="1" applyAlignment="1">
      <alignment horizontal="center"/>
    </xf>
    <xf numFmtId="178" fontId="0" fillId="0" borderId="38" xfId="0" applyNumberFormat="1" applyBorder="1" applyAlignment="1">
      <alignment horizontal="center"/>
    </xf>
    <xf numFmtId="0" fontId="16" fillId="0" borderId="0" xfId="0" applyFont="1" applyAlignment="1">
      <alignment horizontal="center" vertical="center"/>
    </xf>
    <xf numFmtId="0" fontId="0" fillId="0" borderId="0" xfId="0" quotePrefix="1"/>
    <xf numFmtId="179" fontId="16" fillId="0" borderId="0" xfId="1" applyNumberFormat="1" applyFont="1" applyAlignment="1">
      <alignment horizontal="center"/>
    </xf>
    <xf numFmtId="179" fontId="16" fillId="0" borderId="0" xfId="1" applyNumberFormat="1" applyFont="1" applyBorder="1" applyAlignment="1">
      <alignment horizontal="center"/>
    </xf>
    <xf numFmtId="179" fontId="0" fillId="0" borderId="0" xfId="1" applyNumberFormat="1" applyFont="1" applyBorder="1" applyAlignment="1">
      <alignment horizontal="center"/>
    </xf>
    <xf numFmtId="0" fontId="74" fillId="0" borderId="0" xfId="0" applyFont="1" applyAlignment="1">
      <alignment horizontal="center"/>
    </xf>
    <xf numFmtId="0" fontId="3" fillId="0" borderId="0" xfId="0" applyFont="1"/>
    <xf numFmtId="15" fontId="6" fillId="0" borderId="0" xfId="4" applyNumberFormat="1" applyFont="1" applyAlignment="1">
      <alignment horizontal="right"/>
    </xf>
    <xf numFmtId="3" fontId="7" fillId="0" borderId="0" xfId="3" applyNumberFormat="1" applyFont="1" applyFill="1" applyBorder="1" applyAlignment="1">
      <alignment horizontal="right"/>
    </xf>
    <xf numFmtId="177" fontId="72" fillId="0" borderId="0" xfId="0" applyNumberFormat="1" applyFont="1" applyAlignment="1">
      <alignment horizontal="center"/>
    </xf>
    <xf numFmtId="10" fontId="0" fillId="0" borderId="0" xfId="2" applyNumberFormat="1" applyFont="1" applyFill="1" applyBorder="1"/>
    <xf numFmtId="3" fontId="50" fillId="0" borderId="0" xfId="0" applyNumberFormat="1" applyFont="1"/>
    <xf numFmtId="0" fontId="12" fillId="40" borderId="0" xfId="0" applyFont="1" applyFill="1"/>
    <xf numFmtId="0" fontId="50" fillId="40" borderId="0" xfId="0" applyFont="1" applyFill="1"/>
    <xf numFmtId="3" fontId="50" fillId="40" borderId="0" xfId="0" applyNumberFormat="1" applyFont="1" applyFill="1"/>
    <xf numFmtId="2" fontId="5" fillId="0" borderId="0" xfId="2" applyNumberFormat="1" applyFont="1" applyFill="1" applyBorder="1" applyAlignment="1">
      <alignment horizontal="center"/>
    </xf>
    <xf numFmtId="15" fontId="3" fillId="0" borderId="0" xfId="4" applyNumberFormat="1" applyFont="1" applyAlignment="1">
      <alignment horizontal="left"/>
    </xf>
    <xf numFmtId="170" fontId="65" fillId="0" borderId="0" xfId="2" applyNumberFormat="1" applyFont="1" applyFill="1" applyBorder="1" applyAlignment="1">
      <alignment horizontal="right"/>
    </xf>
    <xf numFmtId="181" fontId="65" fillId="0" borderId="0" xfId="2" applyNumberFormat="1" applyFont="1" applyFill="1" applyBorder="1" applyAlignment="1">
      <alignment horizontal="right"/>
    </xf>
    <xf numFmtId="3" fontId="5" fillId="0" borderId="67" xfId="0" applyNumberFormat="1" applyFont="1" applyBorder="1"/>
    <xf numFmtId="3" fontId="5" fillId="0" borderId="17" xfId="0" applyNumberFormat="1" applyFont="1" applyBorder="1"/>
    <xf numFmtId="3" fontId="5" fillId="0" borderId="68" xfId="0" applyNumberFormat="1" applyFont="1" applyBorder="1"/>
    <xf numFmtId="0" fontId="6" fillId="8" borderId="16" xfId="10" applyFont="1" applyFill="1" applyBorder="1" applyAlignment="1">
      <alignment horizontal="right" vertical="center"/>
    </xf>
    <xf numFmtId="3" fontId="0" fillId="0" borderId="63" xfId="10" applyNumberFormat="1" applyFont="1" applyBorder="1" applyAlignment="1">
      <alignment horizontal="right"/>
    </xf>
    <xf numFmtId="4" fontId="0" fillId="0" borderId="42" xfId="10" applyNumberFormat="1" applyFont="1" applyBorder="1" applyAlignment="1">
      <alignment horizontal="right"/>
    </xf>
    <xf numFmtId="4" fontId="0" fillId="0" borderId="36" xfId="10" applyNumberFormat="1" applyFont="1" applyBorder="1" applyAlignment="1">
      <alignment horizontal="right"/>
    </xf>
    <xf numFmtId="4" fontId="0" fillId="0" borderId="37" xfId="10" applyNumberFormat="1" applyFont="1" applyBorder="1" applyAlignment="1">
      <alignment horizontal="right"/>
    </xf>
    <xf numFmtId="4" fontId="0" fillId="0" borderId="44" xfId="10" applyNumberFormat="1" applyFont="1" applyBorder="1" applyAlignment="1">
      <alignment horizontal="right"/>
    </xf>
    <xf numFmtId="4" fontId="0" fillId="0" borderId="40" xfId="10" applyNumberFormat="1" applyFont="1" applyBorder="1" applyAlignment="1">
      <alignment horizontal="right"/>
    </xf>
    <xf numFmtId="4" fontId="0" fillId="0" borderId="41" xfId="10" applyNumberFormat="1" applyFont="1" applyBorder="1" applyAlignment="1">
      <alignment horizontal="right"/>
    </xf>
    <xf numFmtId="181" fontId="13" fillId="0" borderId="0" xfId="0" applyNumberFormat="1" applyFont="1"/>
    <xf numFmtId="181" fontId="13" fillId="0" borderId="0" xfId="2" applyNumberFormat="1" applyFont="1"/>
    <xf numFmtId="181" fontId="13" fillId="0" borderId="0" xfId="0" applyNumberFormat="1" applyFont="1" applyAlignment="1">
      <alignment horizontal="right"/>
    </xf>
    <xf numFmtId="178" fontId="6" fillId="46" borderId="0" xfId="0" applyNumberFormat="1" applyFont="1" applyFill="1"/>
    <xf numFmtId="172" fontId="0" fillId="39" borderId="0" xfId="0" applyNumberFormat="1" applyFill="1" applyAlignment="1">
      <alignment horizontal="center"/>
    </xf>
    <xf numFmtId="3" fontId="9" fillId="0" borderId="24" xfId="0" applyNumberFormat="1" applyFont="1" applyBorder="1"/>
    <xf numFmtId="4" fontId="3" fillId="52" borderId="0" xfId="0" applyNumberFormat="1" applyFont="1" applyFill="1" applyAlignment="1">
      <alignment horizontal="center"/>
    </xf>
    <xf numFmtId="178" fontId="3" fillId="52" borderId="0" xfId="0" applyNumberFormat="1" applyFont="1" applyFill="1"/>
    <xf numFmtId="178" fontId="13" fillId="0" borderId="0" xfId="0" applyNumberFormat="1" applyFont="1"/>
    <xf numFmtId="0" fontId="13" fillId="0" borderId="24" xfId="0" applyFont="1" applyBorder="1" applyAlignment="1">
      <alignment horizontal="left"/>
    </xf>
    <xf numFmtId="0" fontId="13" fillId="0" borderId="24" xfId="0" applyFont="1" applyBorder="1" applyAlignment="1">
      <alignment horizontal="right"/>
    </xf>
    <xf numFmtId="0" fontId="13" fillId="0" borderId="24" xfId="0" applyFont="1" applyBorder="1"/>
    <xf numFmtId="2" fontId="76" fillId="0" borderId="0" xfId="3" applyNumberFormat="1" applyFont="1" applyFill="1" applyBorder="1" applyAlignment="1">
      <alignment horizontal="right"/>
    </xf>
    <xf numFmtId="2" fontId="76" fillId="0" borderId="24" xfId="3" applyNumberFormat="1" applyFont="1" applyFill="1" applyBorder="1" applyAlignment="1">
      <alignment horizontal="right"/>
    </xf>
    <xf numFmtId="15" fontId="13" fillId="0" borderId="0" xfId="4" applyNumberFormat="1" applyFont="1" applyAlignment="1">
      <alignment horizontal="right"/>
    </xf>
    <xf numFmtId="0" fontId="78" fillId="0" borderId="0" xfId="0" applyFont="1"/>
    <xf numFmtId="181" fontId="13" fillId="0" borderId="0" xfId="2" applyNumberFormat="1" applyFont="1" applyFill="1" applyBorder="1" applyAlignment="1">
      <alignment horizontal="right"/>
    </xf>
    <xf numFmtId="15" fontId="51" fillId="0" borderId="0" xfId="4" applyNumberFormat="1" applyFont="1" applyAlignment="1">
      <alignment horizontal="right"/>
    </xf>
    <xf numFmtId="167" fontId="69" fillId="0" borderId="0" xfId="0" applyNumberFormat="1" applyFont="1" applyAlignment="1">
      <alignment horizontal="left"/>
    </xf>
    <xf numFmtId="167" fontId="55" fillId="0" borderId="10" xfId="4" applyNumberFormat="1" applyFont="1" applyBorder="1"/>
    <xf numFmtId="15" fontId="61" fillId="0" borderId="0" xfId="4" applyNumberFormat="1" applyFont="1" applyAlignment="1">
      <alignment horizontal="right"/>
    </xf>
    <xf numFmtId="167" fontId="61" fillId="0" borderId="0" xfId="3" applyNumberFormat="1" applyFont="1" applyFill="1" applyBorder="1" applyAlignment="1">
      <alignment horizontal="right"/>
    </xf>
    <xf numFmtId="0" fontId="52" fillId="0" borderId="58" xfId="0" applyFont="1" applyBorder="1"/>
    <xf numFmtId="0" fontId="52" fillId="0" borderId="24" xfId="0" applyFont="1" applyBorder="1" applyAlignment="1">
      <alignment horizontal="center"/>
    </xf>
    <xf numFmtId="167" fontId="13" fillId="0" borderId="0" xfId="0" applyNumberFormat="1" applyFont="1" applyAlignment="1">
      <alignment horizontal="right"/>
    </xf>
    <xf numFmtId="1" fontId="7" fillId="0" borderId="61" xfId="2" applyNumberFormat="1" applyFont="1" applyFill="1" applyBorder="1" applyAlignment="1">
      <alignment horizontal="center"/>
    </xf>
    <xf numFmtId="3" fontId="7" fillId="0" borderId="61" xfId="3" applyNumberFormat="1" applyFont="1" applyFill="1" applyBorder="1" applyAlignment="1">
      <alignment horizontal="center"/>
    </xf>
    <xf numFmtId="9" fontId="7" fillId="0" borderId="61" xfId="2" applyFont="1" applyFill="1" applyBorder="1" applyAlignment="1">
      <alignment horizontal="center"/>
    </xf>
    <xf numFmtId="3" fontId="5" fillId="0" borderId="61" xfId="0" applyNumberFormat="1" applyFont="1" applyBorder="1" applyAlignment="1">
      <alignment horizontal="center"/>
    </xf>
    <xf numFmtId="2" fontId="0" fillId="0" borderId="61" xfId="0" applyNumberFormat="1" applyBorder="1" applyAlignment="1">
      <alignment horizontal="center"/>
    </xf>
    <xf numFmtId="15" fontId="7" fillId="53" borderId="101" xfId="4" applyNumberFormat="1" applyFont="1" applyFill="1" applyBorder="1" applyAlignment="1">
      <alignment horizontal="left"/>
    </xf>
    <xf numFmtId="15" fontId="7" fillId="53" borderId="102" xfId="4" applyNumberFormat="1" applyFont="1" applyFill="1" applyBorder="1" applyAlignment="1">
      <alignment horizontal="left"/>
    </xf>
    <xf numFmtId="0" fontId="7" fillId="53" borderId="102" xfId="0" applyFont="1" applyFill="1" applyBorder="1"/>
    <xf numFmtId="15" fontId="7" fillId="53" borderId="103" xfId="4" applyNumberFormat="1" applyFont="1" applyFill="1" applyBorder="1" applyAlignment="1">
      <alignment horizontal="left"/>
    </xf>
    <xf numFmtId="172" fontId="5" fillId="0" borderId="0" xfId="0" applyNumberFormat="1" applyFont="1"/>
    <xf numFmtId="0" fontId="8" fillId="0" borderId="0" xfId="0" applyFont="1"/>
    <xf numFmtId="9" fontId="0" fillId="0" borderId="0" xfId="0" applyNumberFormat="1"/>
    <xf numFmtId="0" fontId="7" fillId="0" borderId="0" xfId="0" applyFont="1" applyAlignment="1">
      <alignment horizontal="center" wrapText="1"/>
    </xf>
    <xf numFmtId="3" fontId="72" fillId="0" borderId="0" xfId="0" applyNumberFormat="1" applyFont="1" applyAlignment="1">
      <alignment horizontal="center"/>
    </xf>
    <xf numFmtId="4" fontId="72" fillId="0" borderId="0" xfId="0" applyNumberFormat="1" applyFont="1" applyAlignment="1">
      <alignment horizontal="center"/>
    </xf>
    <xf numFmtId="167" fontId="9" fillId="43" borderId="0" xfId="7" applyNumberFormat="1" applyFont="1" applyFill="1" applyBorder="1" applyAlignment="1">
      <alignment horizontal="right"/>
    </xf>
    <xf numFmtId="167" fontId="7" fillId="43" borderId="0" xfId="3" applyNumberFormat="1" applyFont="1" applyFill="1" applyBorder="1" applyAlignment="1">
      <alignment horizontal="right"/>
    </xf>
    <xf numFmtId="2" fontId="16" fillId="43" borderId="0" xfId="0" applyNumberFormat="1" applyFont="1" applyFill="1"/>
    <xf numFmtId="1" fontId="16" fillId="43" borderId="0" xfId="0" applyNumberFormat="1" applyFont="1" applyFill="1"/>
    <xf numFmtId="2" fontId="0" fillId="43" borderId="0" xfId="0" applyNumberFormat="1" applyFill="1"/>
    <xf numFmtId="172" fontId="0" fillId="0" borderId="0" xfId="0" applyNumberFormat="1"/>
    <xf numFmtId="2" fontId="0" fillId="55" borderId="0" xfId="0" applyNumberFormat="1" applyFill="1"/>
    <xf numFmtId="1" fontId="0" fillId="55" borderId="0" xfId="0" applyNumberFormat="1" applyFill="1"/>
    <xf numFmtId="0" fontId="84" fillId="0" borderId="0" xfId="0" applyFont="1"/>
    <xf numFmtId="2" fontId="11" fillId="0" borderId="0" xfId="0" applyNumberFormat="1" applyFont="1"/>
    <xf numFmtId="179" fontId="66" fillId="0" borderId="0" xfId="1" applyNumberFormat="1" applyFont="1"/>
    <xf numFmtId="1" fontId="66" fillId="0" borderId="0" xfId="0" applyNumberFormat="1" applyFont="1"/>
    <xf numFmtId="2" fontId="85" fillId="0" borderId="0" xfId="3" applyNumberFormat="1" applyFont="1" applyFill="1" applyBorder="1" applyAlignment="1">
      <alignment horizontal="right"/>
    </xf>
    <xf numFmtId="0" fontId="15" fillId="0" borderId="24" xfId="0" applyFont="1" applyBorder="1" applyAlignment="1">
      <alignment horizontal="center" wrapText="1"/>
    </xf>
    <xf numFmtId="178" fontId="16" fillId="0" borderId="0" xfId="0" applyNumberFormat="1" applyFont="1"/>
    <xf numFmtId="2" fontId="16" fillId="0" borderId="0" xfId="0" applyNumberFormat="1" applyFont="1"/>
    <xf numFmtId="0" fontId="0" fillId="0" borderId="0" xfId="0" applyAlignment="1">
      <alignment vertical="center"/>
    </xf>
    <xf numFmtId="1" fontId="16" fillId="0" borderId="0" xfId="0" applyNumberFormat="1" applyFont="1" applyAlignment="1">
      <alignment horizontal="center" vertical="center"/>
    </xf>
    <xf numFmtId="179" fontId="16" fillId="0" borderId="24" xfId="1" applyNumberFormat="1" applyFont="1" applyBorder="1" applyAlignment="1">
      <alignment horizontal="center"/>
    </xf>
    <xf numFmtId="0" fontId="7" fillId="0" borderId="0" xfId="0" applyFont="1" applyAlignment="1">
      <alignment horizontal="center" vertical="center"/>
    </xf>
    <xf numFmtId="4" fontId="0" fillId="43" borderId="0" xfId="0" applyNumberFormat="1" applyFill="1"/>
    <xf numFmtId="4" fontId="0" fillId="55" borderId="0" xfId="0" applyNumberFormat="1" applyFill="1"/>
    <xf numFmtId="178" fontId="3" fillId="52" borderId="24" xfId="0" applyNumberFormat="1" applyFont="1" applyFill="1" applyBorder="1"/>
    <xf numFmtId="178" fontId="13" fillId="0" borderId="24" xfId="0" applyNumberFormat="1" applyFont="1" applyBorder="1"/>
    <xf numFmtId="0" fontId="59" fillId="0" borderId="175" xfId="0" applyFont="1" applyBorder="1" applyAlignment="1">
      <alignment horizontal="right" vertical="center"/>
    </xf>
    <xf numFmtId="0" fontId="59" fillId="0" borderId="168" xfId="0" applyFont="1" applyBorder="1" applyAlignment="1">
      <alignment horizontal="right" vertical="center"/>
    </xf>
    <xf numFmtId="0" fontId="59" fillId="0" borderId="172" xfId="0" applyFont="1" applyBorder="1" applyAlignment="1">
      <alignment horizontal="right" vertical="center"/>
    </xf>
    <xf numFmtId="0" fontId="59" fillId="0" borderId="177" xfId="0" applyFont="1" applyBorder="1" applyAlignment="1">
      <alignment horizontal="right" vertical="center"/>
    </xf>
    <xf numFmtId="0" fontId="92" fillId="0" borderId="104" xfId="0" applyFont="1" applyBorder="1" applyAlignment="1">
      <alignment horizontal="right" vertical="center"/>
    </xf>
    <xf numFmtId="0" fontId="5" fillId="0" borderId="0" xfId="0" applyFont="1" applyAlignment="1">
      <alignment vertical="center"/>
    </xf>
    <xf numFmtId="0" fontId="90" fillId="57" borderId="2" xfId="0" applyFont="1" applyFill="1" applyBorder="1" applyAlignment="1">
      <alignment horizontal="centerContinuous" vertical="center"/>
    </xf>
    <xf numFmtId="0" fontId="90" fillId="54" borderId="2" xfId="0" applyFont="1" applyFill="1" applyBorder="1" applyAlignment="1">
      <alignment horizontal="centerContinuous" vertical="center"/>
    </xf>
    <xf numFmtId="0" fontId="3" fillId="45" borderId="13" xfId="0" applyFont="1" applyFill="1" applyBorder="1" applyAlignment="1">
      <alignment horizontal="center" vertical="center"/>
    </xf>
    <xf numFmtId="0" fontId="3" fillId="57" borderId="182" xfId="0" applyFont="1" applyFill="1" applyBorder="1" applyAlignment="1">
      <alignment horizontal="center" vertical="center"/>
    </xf>
    <xf numFmtId="0" fontId="3" fillId="57" borderId="183" xfId="0" applyFont="1" applyFill="1" applyBorder="1" applyAlignment="1">
      <alignment horizontal="center" vertical="center"/>
    </xf>
    <xf numFmtId="0" fontId="3" fillId="57" borderId="104" xfId="0" applyFont="1" applyFill="1" applyBorder="1" applyAlignment="1">
      <alignment horizontal="center" vertical="center"/>
    </xf>
    <xf numFmtId="0" fontId="3" fillId="54" borderId="182" xfId="0" applyFont="1" applyFill="1" applyBorder="1" applyAlignment="1">
      <alignment horizontal="center" vertical="center"/>
    </xf>
    <xf numFmtId="0" fontId="3" fillId="54" borderId="183" xfId="0" applyFont="1" applyFill="1" applyBorder="1" applyAlignment="1">
      <alignment horizontal="center" vertical="center"/>
    </xf>
    <xf numFmtId="0" fontId="3" fillId="54" borderId="104" xfId="0" applyFont="1" applyFill="1" applyBorder="1" applyAlignment="1">
      <alignment horizontal="center" vertical="center"/>
    </xf>
    <xf numFmtId="0" fontId="79" fillId="0" borderId="0" xfId="0" applyFont="1" applyAlignment="1">
      <alignment vertical="center"/>
    </xf>
    <xf numFmtId="0" fontId="3" fillId="57" borderId="2" xfId="0" applyFont="1" applyFill="1" applyBorder="1" applyAlignment="1">
      <alignment vertical="center"/>
    </xf>
    <xf numFmtId="0" fontId="0" fillId="57" borderId="12" xfId="0" applyFill="1" applyBorder="1" applyAlignment="1">
      <alignment vertical="center"/>
    </xf>
    <xf numFmtId="0" fontId="9" fillId="57" borderId="12" xfId="0" applyFont="1" applyFill="1" applyBorder="1" applyAlignment="1">
      <alignment vertical="center"/>
    </xf>
    <xf numFmtId="0" fontId="0" fillId="57" borderId="104" xfId="0" applyFill="1" applyBorder="1" applyAlignment="1">
      <alignment vertical="center"/>
    </xf>
    <xf numFmtId="0" fontId="0" fillId="57" borderId="2" xfId="0" applyFill="1" applyBorder="1" applyAlignment="1">
      <alignment vertical="center"/>
    </xf>
    <xf numFmtId="0" fontId="80" fillId="46" borderId="105" xfId="0" applyFont="1" applyFill="1" applyBorder="1" applyAlignment="1">
      <alignment vertical="center"/>
    </xf>
    <xf numFmtId="0" fontId="79" fillId="48" borderId="105" xfId="0" applyFont="1" applyFill="1" applyBorder="1" applyAlignment="1">
      <alignment horizontal="center" vertical="center"/>
    </xf>
    <xf numFmtId="0" fontId="5" fillId="40" borderId="121" xfId="0" applyFont="1" applyFill="1" applyBorder="1" applyAlignment="1">
      <alignment horizontal="center" vertical="center"/>
    </xf>
    <xf numFmtId="0" fontId="5" fillId="40" borderId="81" xfId="0" applyFont="1" applyFill="1" applyBorder="1" applyAlignment="1">
      <alignment horizontal="center" vertical="center"/>
    </xf>
    <xf numFmtId="0" fontId="5" fillId="0" borderId="0" xfId="0" applyFont="1" applyAlignment="1">
      <alignment horizontal="center" vertical="center"/>
    </xf>
    <xf numFmtId="0" fontId="5" fillId="0" borderId="89" xfId="0" applyFont="1" applyBorder="1" applyAlignment="1">
      <alignment horizontal="center" vertical="center"/>
    </xf>
    <xf numFmtId="0" fontId="5" fillId="0" borderId="82" xfId="0" applyFont="1" applyBorder="1" applyAlignment="1">
      <alignment horizontal="center" vertical="center"/>
    </xf>
    <xf numFmtId="0" fontId="5" fillId="0" borderId="83" xfId="0" applyFont="1" applyBorder="1" applyAlignment="1">
      <alignment horizontal="center" vertical="center"/>
    </xf>
    <xf numFmtId="0" fontId="9" fillId="0" borderId="173" xfId="0" applyFont="1" applyBorder="1" applyAlignment="1">
      <alignment horizontal="left" vertical="center"/>
    </xf>
    <xf numFmtId="0" fontId="9" fillId="0" borderId="136" xfId="0" applyFont="1" applyBorder="1" applyAlignment="1">
      <alignment horizontal="left" vertical="center"/>
    </xf>
    <xf numFmtId="0" fontId="9" fillId="0" borderId="175" xfId="0" applyFont="1" applyBorder="1" applyAlignment="1">
      <alignment horizontal="left" vertical="center"/>
    </xf>
    <xf numFmtId="3" fontId="0" fillId="10" borderId="184" xfId="0" applyNumberFormat="1" applyFill="1" applyBorder="1" applyAlignment="1">
      <alignment horizontal="center" vertical="center"/>
    </xf>
    <xf numFmtId="0" fontId="0" fillId="0" borderId="0" xfId="0" applyAlignment="1">
      <alignment horizontal="center" vertical="center"/>
    </xf>
    <xf numFmtId="3" fontId="0" fillId="40" borderId="123" xfId="0" applyNumberFormat="1" applyFill="1" applyBorder="1" applyAlignment="1">
      <alignment horizontal="center" vertical="center"/>
    </xf>
    <xf numFmtId="3" fontId="0" fillId="40" borderId="124" xfId="0" applyNumberFormat="1" applyFill="1" applyBorder="1" applyAlignment="1">
      <alignment horizontal="center" vertical="center"/>
    </xf>
    <xf numFmtId="3" fontId="76" fillId="0" borderId="0" xfId="0" applyNumberFormat="1" applyFont="1" applyAlignment="1">
      <alignment horizontal="center" vertical="center"/>
    </xf>
    <xf numFmtId="0" fontId="9" fillId="0" borderId="169" xfId="0" applyFont="1" applyBorder="1" applyAlignment="1">
      <alignment horizontal="left" vertical="center"/>
    </xf>
    <xf numFmtId="0" fontId="9" fillId="0" borderId="117" xfId="0" applyFont="1" applyBorder="1" applyAlignment="1">
      <alignment horizontal="left" vertical="center"/>
    </xf>
    <xf numFmtId="0" fontId="9" fillId="0" borderId="170" xfId="0" applyFont="1" applyBorder="1" applyAlignment="1">
      <alignment horizontal="left" vertical="center"/>
    </xf>
    <xf numFmtId="3" fontId="0" fillId="10" borderId="141" xfId="0" applyNumberFormat="1" applyFill="1" applyBorder="1" applyAlignment="1">
      <alignment horizontal="center" vertical="center"/>
    </xf>
    <xf numFmtId="3" fontId="0" fillId="40" borderId="145" xfId="0" applyNumberFormat="1" applyFill="1" applyBorder="1" applyAlignment="1">
      <alignment horizontal="center" vertical="center"/>
    </xf>
    <xf numFmtId="3" fontId="0" fillId="40" borderId="120" xfId="0" applyNumberFormat="1" applyFill="1" applyBorder="1" applyAlignment="1">
      <alignment horizontal="center" vertical="center"/>
    </xf>
    <xf numFmtId="0" fontId="80" fillId="10" borderId="105" xfId="0" applyFont="1" applyFill="1" applyBorder="1" applyAlignment="1">
      <alignment vertical="center"/>
    </xf>
    <xf numFmtId="0" fontId="80" fillId="10" borderId="105" xfId="0" applyFont="1" applyFill="1" applyBorder="1" applyAlignment="1">
      <alignment horizontal="center" vertical="center"/>
    </xf>
    <xf numFmtId="0" fontId="82" fillId="0" borderId="0" xfId="0" applyFont="1" applyAlignment="1">
      <alignment vertical="center"/>
    </xf>
    <xf numFmtId="0" fontId="9" fillId="0" borderId="176" xfId="0" applyFont="1" applyBorder="1" applyAlignment="1">
      <alignment horizontal="left" vertical="center"/>
    </xf>
    <xf numFmtId="0" fontId="9" fillId="0" borderId="139" xfId="0" applyFont="1" applyBorder="1" applyAlignment="1">
      <alignment horizontal="left" vertical="center"/>
    </xf>
    <xf numFmtId="0" fontId="9" fillId="0" borderId="177" xfId="0" applyFont="1" applyBorder="1" applyAlignment="1">
      <alignment horizontal="left" vertical="center"/>
    </xf>
    <xf numFmtId="0" fontId="16" fillId="10" borderId="185" xfId="0" applyFont="1" applyFill="1" applyBorder="1" applyAlignment="1">
      <alignment horizontal="center" vertical="center"/>
    </xf>
    <xf numFmtId="9" fontId="0" fillId="40" borderId="142" xfId="2" applyFont="1" applyFill="1" applyBorder="1" applyAlignment="1">
      <alignment horizontal="center" vertical="center"/>
    </xf>
    <xf numFmtId="9" fontId="0" fillId="40" borderId="144" xfId="2" applyFont="1" applyFill="1" applyBorder="1" applyAlignment="1">
      <alignment horizontal="center" vertical="center"/>
    </xf>
    <xf numFmtId="9" fontId="76" fillId="0" borderId="0" xfId="2" applyFont="1" applyFill="1" applyBorder="1" applyAlignment="1">
      <alignment horizontal="center" vertical="center"/>
    </xf>
    <xf numFmtId="9" fontId="16" fillId="0" borderId="0" xfId="2" applyFont="1" applyFill="1" applyBorder="1" applyAlignment="1">
      <alignment horizontal="center" vertical="center"/>
    </xf>
    <xf numFmtId="0" fontId="9" fillId="0" borderId="167" xfId="0" applyFont="1" applyBorder="1" applyAlignment="1">
      <alignment horizontal="left" vertical="center"/>
    </xf>
    <xf numFmtId="0" fontId="9" fillId="0" borderId="115" xfId="0" applyFont="1" applyBorder="1" applyAlignment="1">
      <alignment horizontal="left" vertical="center"/>
    </xf>
    <xf numFmtId="0" fontId="9" fillId="0" borderId="168" xfId="0" applyFont="1" applyBorder="1" applyAlignment="1">
      <alignment horizontal="left" vertical="center"/>
    </xf>
    <xf numFmtId="0" fontId="16" fillId="10" borderId="186" xfId="0" applyFont="1" applyFill="1" applyBorder="1" applyAlignment="1">
      <alignment horizontal="center" vertical="center"/>
    </xf>
    <xf numFmtId="9" fontId="0" fillId="40" borderId="126" xfId="2" applyFont="1" applyFill="1" applyBorder="1" applyAlignment="1">
      <alignment horizontal="center" vertical="center"/>
    </xf>
    <xf numFmtId="9" fontId="0" fillId="40" borderId="119" xfId="2" applyFont="1" applyFill="1" applyBorder="1" applyAlignment="1">
      <alignment horizontal="center" vertical="center"/>
    </xf>
    <xf numFmtId="0" fontId="9" fillId="0" borderId="171" xfId="0" applyFont="1" applyBorder="1" applyAlignment="1">
      <alignment horizontal="left" vertical="center"/>
    </xf>
    <xf numFmtId="0" fontId="9" fillId="0" borderId="137" xfId="0" applyFont="1" applyBorder="1" applyAlignment="1">
      <alignment horizontal="left" vertical="center"/>
    </xf>
    <xf numFmtId="0" fontId="9" fillId="0" borderId="172" xfId="0" applyFont="1" applyBorder="1" applyAlignment="1">
      <alignment horizontal="left" vertical="center"/>
    </xf>
    <xf numFmtId="9" fontId="16" fillId="10" borderId="188" xfId="0" applyNumberFormat="1" applyFont="1" applyFill="1" applyBorder="1" applyAlignment="1">
      <alignment horizontal="center" vertical="center"/>
    </xf>
    <xf numFmtId="9" fontId="0" fillId="40" borderId="128" xfId="2" applyFont="1" applyFill="1" applyBorder="1" applyAlignment="1">
      <alignment horizontal="center" vertical="center"/>
    </xf>
    <xf numFmtId="9" fontId="0" fillId="40" borderId="129" xfId="2" applyFont="1" applyFill="1" applyBorder="1" applyAlignment="1">
      <alignment horizontal="center" vertical="center"/>
    </xf>
    <xf numFmtId="0" fontId="80" fillId="46" borderId="92" xfId="0" applyFont="1" applyFill="1" applyBorder="1" applyAlignment="1">
      <alignment vertical="center"/>
    </xf>
    <xf numFmtId="0" fontId="79" fillId="48" borderId="92" xfId="0" applyFont="1" applyFill="1" applyBorder="1" applyAlignment="1">
      <alignment horizontal="center" vertical="center"/>
    </xf>
    <xf numFmtId="0" fontId="80" fillId="46" borderId="0" xfId="0" applyFont="1" applyFill="1" applyAlignment="1">
      <alignment vertical="center"/>
    </xf>
    <xf numFmtId="0" fontId="79" fillId="48" borderId="0" xfId="0" applyFont="1" applyFill="1" applyAlignment="1">
      <alignment horizontal="center" vertical="center"/>
    </xf>
    <xf numFmtId="0" fontId="81" fillId="0" borderId="0" xfId="0" applyFont="1" applyAlignment="1">
      <alignment vertical="center"/>
    </xf>
    <xf numFmtId="0" fontId="7" fillId="0" borderId="0" xfId="0" applyFont="1" applyAlignment="1">
      <alignment horizontal="left" vertical="center"/>
    </xf>
    <xf numFmtId="0" fontId="6" fillId="0" borderId="0" xfId="0" applyFont="1" applyAlignment="1">
      <alignment vertical="center"/>
    </xf>
    <xf numFmtId="3" fontId="5" fillId="0" borderId="0" xfId="0" applyNumberFormat="1" applyFont="1" applyAlignment="1">
      <alignment vertical="center"/>
    </xf>
    <xf numFmtId="0" fontId="86" fillId="0" borderId="0" xfId="0" applyFont="1" applyAlignment="1">
      <alignment vertical="center"/>
    </xf>
    <xf numFmtId="0" fontId="86" fillId="0" borderId="0" xfId="0" applyFont="1" applyAlignment="1">
      <alignment horizontal="center" vertical="center"/>
    </xf>
    <xf numFmtId="3" fontId="0" fillId="10" borderId="186" xfId="0" applyNumberFormat="1" applyFill="1" applyBorder="1" applyAlignment="1">
      <alignment vertical="center"/>
    </xf>
    <xf numFmtId="3" fontId="0" fillId="40" borderId="167" xfId="0" applyNumberFormat="1" applyFill="1" applyBorder="1" applyAlignment="1">
      <alignment vertical="center"/>
    </xf>
    <xf numFmtId="3" fontId="0" fillId="40" borderId="110" xfId="0" applyNumberFormat="1" applyFill="1" applyBorder="1" applyAlignment="1">
      <alignment vertical="center"/>
    </xf>
    <xf numFmtId="3" fontId="76" fillId="0" borderId="0" xfId="0" applyNumberFormat="1" applyFont="1" applyAlignment="1">
      <alignment vertical="center"/>
    </xf>
    <xf numFmtId="3" fontId="0" fillId="0" borderId="0" xfId="0" applyNumberFormat="1" applyAlignment="1">
      <alignment vertical="center"/>
    </xf>
    <xf numFmtId="0" fontId="80" fillId="0" borderId="0" xfId="2" applyNumberFormat="1" applyFont="1" applyFill="1" applyAlignment="1">
      <alignment horizontal="center" vertical="center"/>
    </xf>
    <xf numFmtId="184" fontId="5" fillId="0" borderId="0" xfId="0" applyNumberFormat="1" applyFont="1" applyAlignment="1">
      <alignment vertical="center"/>
    </xf>
    <xf numFmtId="0" fontId="0" fillId="0" borderId="172" xfId="0" applyBorder="1" applyAlignment="1">
      <alignment vertical="center"/>
    </xf>
    <xf numFmtId="3" fontId="0" fillId="0" borderId="171" xfId="0" applyNumberFormat="1" applyBorder="1" applyAlignment="1">
      <alignment vertical="center"/>
    </xf>
    <xf numFmtId="3" fontId="0" fillId="0" borderId="162" xfId="0" applyNumberFormat="1" applyBorder="1" applyAlignment="1">
      <alignment vertical="center"/>
    </xf>
    <xf numFmtId="3" fontId="0" fillId="0" borderId="172" xfId="0" applyNumberFormat="1" applyBorder="1" applyAlignment="1">
      <alignment vertical="center"/>
    </xf>
    <xf numFmtId="0" fontId="3" fillId="0" borderId="0" xfId="0" applyFont="1" applyAlignment="1">
      <alignment vertical="center"/>
    </xf>
    <xf numFmtId="0" fontId="9" fillId="0" borderId="0" xfId="0" applyFont="1" applyAlignment="1">
      <alignment vertical="center"/>
    </xf>
    <xf numFmtId="0" fontId="5" fillId="0" borderId="121" xfId="0" applyFont="1" applyBorder="1" applyAlignment="1">
      <alignment horizontal="center" vertical="center"/>
    </xf>
    <xf numFmtId="0" fontId="5" fillId="0" borderId="81" xfId="0" applyFont="1" applyBorder="1" applyAlignment="1">
      <alignment horizontal="center" vertical="center"/>
    </xf>
    <xf numFmtId="0" fontId="5" fillId="0" borderId="122" xfId="0" applyFont="1" applyBorder="1" applyAlignment="1">
      <alignment horizontal="center" vertical="center"/>
    </xf>
    <xf numFmtId="0" fontId="16" fillId="0" borderId="2" xfId="0" applyFont="1" applyBorder="1" applyAlignment="1">
      <alignment horizontal="left" vertical="center"/>
    </xf>
    <xf numFmtId="0" fontId="16" fillId="0" borderId="12" xfId="0" applyFont="1" applyBorder="1" applyAlignment="1">
      <alignment horizontal="right" vertical="center"/>
    </xf>
    <xf numFmtId="0" fontId="16" fillId="0" borderId="12" xfId="0" applyFont="1" applyBorder="1" applyAlignment="1">
      <alignment vertical="center"/>
    </xf>
    <xf numFmtId="170" fontId="16" fillId="0" borderId="104" xfId="0" applyNumberFormat="1" applyFont="1" applyBorder="1" applyAlignment="1">
      <alignment horizontal="right" vertical="center"/>
    </xf>
    <xf numFmtId="170" fontId="0" fillId="40" borderId="121" xfId="0" applyNumberFormat="1" applyFill="1" applyBorder="1" applyAlignment="1">
      <alignment horizontal="center" vertical="center"/>
    </xf>
    <xf numFmtId="170" fontId="0" fillId="40" borderId="81" xfId="0" applyNumberFormat="1" applyFill="1" applyBorder="1" applyAlignment="1">
      <alignment horizontal="center" vertical="center"/>
    </xf>
    <xf numFmtId="170" fontId="16" fillId="0" borderId="121" xfId="0" applyNumberFormat="1" applyFont="1" applyBorder="1" applyAlignment="1">
      <alignment horizontal="center" vertical="center"/>
    </xf>
    <xf numFmtId="170" fontId="16" fillId="0" borderId="81" xfId="0" applyNumberFormat="1" applyFont="1" applyBorder="1" applyAlignment="1">
      <alignment horizontal="center" vertical="center"/>
    </xf>
    <xf numFmtId="170" fontId="16" fillId="0" borderId="122" xfId="0" applyNumberFormat="1" applyFont="1" applyBorder="1" applyAlignment="1">
      <alignment horizontal="center" vertical="center"/>
    </xf>
    <xf numFmtId="3" fontId="6" fillId="0" borderId="0" xfId="0" applyNumberFormat="1" applyFont="1" applyAlignment="1">
      <alignment vertical="center"/>
    </xf>
    <xf numFmtId="0" fontId="9" fillId="0" borderId="2" xfId="0" applyFont="1" applyBorder="1" applyAlignment="1">
      <alignment horizontal="left" vertical="center"/>
    </xf>
    <xf numFmtId="0" fontId="0" fillId="0" borderId="12" xfId="0" applyBorder="1" applyAlignment="1">
      <alignment vertical="center"/>
    </xf>
    <xf numFmtId="9" fontId="0" fillId="40" borderId="2" xfId="2" applyFont="1" applyFill="1" applyBorder="1" applyAlignment="1">
      <alignment horizontal="center" vertical="center"/>
    </xf>
    <xf numFmtId="9" fontId="0" fillId="40" borderId="82" xfId="2" applyFont="1" applyFill="1" applyBorder="1" applyAlignment="1">
      <alignment horizontal="center" vertical="center"/>
    </xf>
    <xf numFmtId="0" fontId="0" fillId="0" borderId="0" xfId="0" quotePrefix="1" applyAlignment="1">
      <alignment vertical="center"/>
    </xf>
    <xf numFmtId="170" fontId="0" fillId="10" borderId="184" xfId="0" applyNumberFormat="1" applyFill="1" applyBorder="1" applyAlignment="1">
      <alignment vertical="center"/>
    </xf>
    <xf numFmtId="170" fontId="0" fillId="10" borderId="186" xfId="0" applyNumberFormat="1" applyFill="1" applyBorder="1" applyAlignment="1">
      <alignment vertical="center"/>
    </xf>
    <xf numFmtId="181" fontId="0" fillId="10" borderId="186" xfId="0" applyNumberFormat="1" applyFill="1" applyBorder="1" applyAlignment="1">
      <alignment horizontal="right" vertical="center"/>
    </xf>
    <xf numFmtId="170" fontId="0" fillId="10" borderId="188" xfId="0" applyNumberFormat="1" applyFill="1" applyBorder="1" applyAlignment="1">
      <alignment vertical="center"/>
    </xf>
    <xf numFmtId="0" fontId="9" fillId="0" borderId="112" xfId="0" applyFont="1" applyBorder="1" applyAlignment="1">
      <alignment horizontal="left" vertical="center"/>
    </xf>
    <xf numFmtId="3" fontId="0" fillId="10" borderId="114" xfId="0" applyNumberFormat="1" applyFill="1" applyBorder="1" applyAlignment="1">
      <alignment vertical="center"/>
    </xf>
    <xf numFmtId="3" fontId="0" fillId="0" borderId="173" xfId="0" applyNumberFormat="1" applyBorder="1" applyAlignment="1">
      <alignment vertical="center"/>
    </xf>
    <xf numFmtId="3" fontId="0" fillId="0" borderId="174" xfId="0" applyNumberFormat="1" applyBorder="1" applyAlignment="1">
      <alignment vertical="center"/>
    </xf>
    <xf numFmtId="3" fontId="0" fillId="0" borderId="175" xfId="0" applyNumberFormat="1" applyBorder="1" applyAlignment="1">
      <alignment vertical="center"/>
    </xf>
    <xf numFmtId="0" fontId="9" fillId="0" borderId="116" xfId="0" applyFont="1" applyBorder="1" applyAlignment="1">
      <alignment horizontal="left" vertical="center"/>
    </xf>
    <xf numFmtId="3" fontId="0" fillId="10" borderId="118" xfId="0" applyNumberFormat="1" applyFill="1" applyBorder="1" applyAlignment="1">
      <alignment vertical="center"/>
    </xf>
    <xf numFmtId="3" fontId="89" fillId="56" borderId="99" xfId="0" applyNumberFormat="1" applyFont="1" applyFill="1" applyBorder="1" applyAlignment="1">
      <alignment horizontal="centerContinuous" vertical="center"/>
    </xf>
    <xf numFmtId="3" fontId="89" fillId="56" borderId="164" xfId="0" applyNumberFormat="1" applyFont="1" applyFill="1" applyBorder="1" applyAlignment="1">
      <alignment horizontal="centerContinuous" vertical="center"/>
    </xf>
    <xf numFmtId="3" fontId="89" fillId="56" borderId="53" xfId="0" applyNumberFormat="1" applyFont="1" applyFill="1" applyBorder="1" applyAlignment="1">
      <alignment horizontal="centerContinuous" vertical="center"/>
    </xf>
    <xf numFmtId="3" fontId="3" fillId="0" borderId="0" xfId="0" applyNumberFormat="1" applyFont="1" applyAlignment="1">
      <alignment horizontal="left" vertical="center"/>
    </xf>
    <xf numFmtId="0" fontId="5" fillId="40" borderId="149" xfId="0" applyFont="1" applyFill="1" applyBorder="1" applyAlignment="1">
      <alignment horizontal="center" vertical="center"/>
    </xf>
    <xf numFmtId="0" fontId="5" fillId="40" borderId="106" xfId="0" applyFont="1" applyFill="1" applyBorder="1" applyAlignment="1">
      <alignment horizontal="center" vertical="center"/>
    </xf>
    <xf numFmtId="0" fontId="5" fillId="0" borderId="46" xfId="0" applyFont="1" applyBorder="1" applyAlignment="1">
      <alignment horizontal="center" vertical="center"/>
    </xf>
    <xf numFmtId="0" fontId="5" fillId="0" borderId="22" xfId="0" applyFont="1" applyBorder="1" applyAlignment="1">
      <alignment horizontal="center" vertical="center"/>
    </xf>
    <xf numFmtId="0" fontId="5" fillId="0" borderId="39" xfId="0" applyFont="1" applyBorder="1" applyAlignment="1">
      <alignment horizontal="center" vertical="center"/>
    </xf>
    <xf numFmtId="0" fontId="3" fillId="57" borderId="42" xfId="0" applyFont="1" applyFill="1" applyBorder="1" applyAlignment="1">
      <alignment vertical="center"/>
    </xf>
    <xf numFmtId="0" fontId="3" fillId="57" borderId="36" xfId="0" applyFont="1" applyFill="1" applyBorder="1" applyAlignment="1">
      <alignment vertical="center"/>
    </xf>
    <xf numFmtId="0" fontId="3" fillId="57" borderId="164" xfId="0" applyFont="1" applyFill="1" applyBorder="1" applyAlignment="1">
      <alignment vertical="center"/>
    </xf>
    <xf numFmtId="0" fontId="3" fillId="57" borderId="53" xfId="0" applyFont="1" applyFill="1" applyBorder="1" applyAlignment="1">
      <alignment vertical="center"/>
    </xf>
    <xf numFmtId="0" fontId="77" fillId="57" borderId="9" xfId="0" applyFont="1" applyFill="1" applyBorder="1" applyAlignment="1">
      <alignment horizontal="center" vertical="center"/>
    </xf>
    <xf numFmtId="0" fontId="77" fillId="57" borderId="0" xfId="0" applyFont="1" applyFill="1" applyAlignment="1">
      <alignment horizontal="center" vertical="center"/>
    </xf>
    <xf numFmtId="0" fontId="77" fillId="57" borderId="10" xfId="0" applyFont="1" applyFill="1" applyBorder="1" applyAlignment="1">
      <alignment horizontal="center" vertical="center"/>
    </xf>
    <xf numFmtId="0" fontId="77" fillId="0" borderId="0" xfId="0" applyFont="1" applyAlignment="1">
      <alignment horizontal="center" vertical="center"/>
    </xf>
    <xf numFmtId="0" fontId="77" fillId="54" borderId="9" xfId="0" applyFont="1" applyFill="1" applyBorder="1" applyAlignment="1">
      <alignment horizontal="center" vertical="center"/>
    </xf>
    <xf numFmtId="0" fontId="77" fillId="54" borderId="0" xfId="0" applyFont="1" applyFill="1" applyAlignment="1">
      <alignment horizontal="center" vertical="center"/>
    </xf>
    <xf numFmtId="0" fontId="77" fillId="54" borderId="10" xfId="0" applyFont="1" applyFill="1" applyBorder="1" applyAlignment="1">
      <alignment horizontal="center" vertical="center"/>
    </xf>
    <xf numFmtId="0" fontId="0" fillId="0" borderId="176" xfId="0" applyBorder="1" applyAlignment="1">
      <alignment vertical="center"/>
    </xf>
    <xf numFmtId="0" fontId="0" fillId="0" borderId="109" xfId="0" applyBorder="1" applyAlignment="1">
      <alignment vertical="center"/>
    </xf>
    <xf numFmtId="0" fontId="0" fillId="0" borderId="113" xfId="0" applyBorder="1" applyAlignment="1">
      <alignment vertical="center"/>
    </xf>
    <xf numFmtId="0" fontId="0" fillId="0" borderId="177" xfId="0" applyBorder="1" applyAlignment="1">
      <alignment vertical="center"/>
    </xf>
    <xf numFmtId="3" fontId="9" fillId="40" borderId="165" xfId="0" applyNumberFormat="1" applyFont="1" applyFill="1" applyBorder="1" applyAlignment="1">
      <alignment vertical="center"/>
    </xf>
    <xf numFmtId="3" fontId="9" fillId="40" borderId="109" xfId="0" applyNumberFormat="1" applyFont="1" applyFill="1" applyBorder="1" applyAlignment="1">
      <alignment vertical="center"/>
    </xf>
    <xf numFmtId="3" fontId="18" fillId="0" borderId="0" xfId="0" applyNumberFormat="1" applyFont="1" applyAlignment="1">
      <alignment vertical="center"/>
    </xf>
    <xf numFmtId="0" fontId="0" fillId="0" borderId="167" xfId="0" applyBorder="1" applyAlignment="1">
      <alignment vertical="center"/>
    </xf>
    <xf numFmtId="0" fontId="0" fillId="0" borderId="110" xfId="0" applyBorder="1" applyAlignment="1">
      <alignment vertical="center"/>
    </xf>
    <xf numFmtId="0" fontId="0" fillId="0" borderId="115" xfId="0" applyBorder="1" applyAlignment="1">
      <alignment vertical="center"/>
    </xf>
    <xf numFmtId="0" fontId="0" fillId="0" borderId="168" xfId="0" applyBorder="1" applyAlignment="1">
      <alignment vertical="center"/>
    </xf>
    <xf numFmtId="3" fontId="9" fillId="40" borderId="167" xfId="0" applyNumberFormat="1" applyFont="1" applyFill="1" applyBorder="1" applyAlignment="1">
      <alignment vertical="center"/>
    </xf>
    <xf numFmtId="3" fontId="9" fillId="40" borderId="110" xfId="0" applyNumberFormat="1" applyFont="1" applyFill="1" applyBorder="1" applyAlignment="1">
      <alignment vertical="center"/>
    </xf>
    <xf numFmtId="0" fontId="16" fillId="0" borderId="167" xfId="0" applyFont="1" applyBorder="1" applyAlignment="1">
      <alignment vertical="center"/>
    </xf>
    <xf numFmtId="0" fontId="16" fillId="0" borderId="110" xfId="0" applyFont="1" applyBorder="1" applyAlignment="1">
      <alignment vertical="center"/>
    </xf>
    <xf numFmtId="0" fontId="16" fillId="0" borderId="115" xfId="0" applyFont="1" applyBorder="1" applyAlignment="1">
      <alignment vertical="center"/>
    </xf>
    <xf numFmtId="0" fontId="16" fillId="0" borderId="168" xfId="0" applyFont="1" applyBorder="1" applyAlignment="1">
      <alignment vertical="center"/>
    </xf>
    <xf numFmtId="3" fontId="16" fillId="40" borderId="167" xfId="0" applyNumberFormat="1" applyFont="1" applyFill="1" applyBorder="1" applyAlignment="1">
      <alignment vertical="center"/>
    </xf>
    <xf numFmtId="3" fontId="16" fillId="40" borderId="110" xfId="0" applyNumberFormat="1" applyFont="1" applyFill="1" applyBorder="1" applyAlignment="1">
      <alignment vertical="center"/>
    </xf>
    <xf numFmtId="0" fontId="0" fillId="0" borderId="110" xfId="0" applyBorder="1" applyAlignment="1">
      <alignment horizontal="right" vertical="center"/>
    </xf>
    <xf numFmtId="0" fontId="0" fillId="0" borderId="110" xfId="0" applyBorder="1" applyAlignment="1">
      <alignment horizontal="center" vertical="center"/>
    </xf>
    <xf numFmtId="0" fontId="0" fillId="0" borderId="169" xfId="0" applyBorder="1" applyAlignment="1">
      <alignment vertical="center"/>
    </xf>
    <xf numFmtId="0" fontId="0" fillId="0" borderId="111" xfId="0" applyBorder="1" applyAlignment="1">
      <alignment horizontal="right" vertical="center"/>
    </xf>
    <xf numFmtId="0" fontId="0" fillId="0" borderId="111" xfId="0" applyBorder="1" applyAlignment="1">
      <alignment horizontal="center" vertical="center"/>
    </xf>
    <xf numFmtId="0" fontId="0" fillId="0" borderId="117" xfId="0" applyBorder="1" applyAlignment="1">
      <alignment vertical="center"/>
    </xf>
    <xf numFmtId="0" fontId="0" fillId="0" borderId="170" xfId="0" applyBorder="1" applyAlignment="1">
      <alignment vertical="center"/>
    </xf>
    <xf numFmtId="3" fontId="9" fillId="40" borderId="169" xfId="0" applyNumberFormat="1" applyFont="1" applyFill="1" applyBorder="1" applyAlignment="1">
      <alignment vertical="center"/>
    </xf>
    <xf numFmtId="3" fontId="9" fillId="40" borderId="111" xfId="0" applyNumberFormat="1" applyFont="1" applyFill="1" applyBorder="1" applyAlignment="1">
      <alignment vertical="center"/>
    </xf>
    <xf numFmtId="0" fontId="0" fillId="0" borderId="165" xfId="0" applyBorder="1" applyAlignment="1">
      <alignment horizontal="right" vertical="center"/>
    </xf>
    <xf numFmtId="0" fontId="0" fillId="0" borderId="166" xfId="0" applyBorder="1" applyAlignment="1">
      <alignment vertical="center"/>
    </xf>
    <xf numFmtId="0" fontId="0" fillId="0" borderId="167" xfId="0" applyBorder="1" applyAlignment="1">
      <alignment horizontal="right" vertical="center"/>
    </xf>
    <xf numFmtId="0" fontId="0" fillId="0" borderId="169" xfId="0" applyBorder="1" applyAlignment="1">
      <alignment horizontal="right" vertical="center"/>
    </xf>
    <xf numFmtId="0" fontId="0" fillId="0" borderId="111" xfId="0" applyBorder="1" applyAlignment="1">
      <alignment vertical="center"/>
    </xf>
    <xf numFmtId="0" fontId="0" fillId="0" borderId="165" xfId="0" applyBorder="1" applyAlignment="1">
      <alignment horizontal="left" vertical="center"/>
    </xf>
    <xf numFmtId="0" fontId="0" fillId="0" borderId="109" xfId="0" applyBorder="1" applyAlignment="1">
      <alignment horizontal="right" vertical="center"/>
    </xf>
    <xf numFmtId="0" fontId="0" fillId="0" borderId="167" xfId="0" applyBorder="1" applyAlignment="1">
      <alignment horizontal="left" vertical="center"/>
    </xf>
    <xf numFmtId="0" fontId="0" fillId="0" borderId="169" xfId="0" applyBorder="1" applyAlignment="1">
      <alignment horizontal="left" vertical="center"/>
    </xf>
    <xf numFmtId="0" fontId="0" fillId="0" borderId="171" xfId="0" applyBorder="1" applyAlignment="1">
      <alignment horizontal="right" vertical="center"/>
    </xf>
    <xf numFmtId="0" fontId="0" fillId="0" borderId="162" xfId="0" applyBorder="1" applyAlignment="1">
      <alignment horizontal="right" vertical="center"/>
    </xf>
    <xf numFmtId="0" fontId="0" fillId="0" borderId="162" xfId="0" applyBorder="1" applyAlignment="1">
      <alignment vertical="center"/>
    </xf>
    <xf numFmtId="0" fontId="0" fillId="0" borderId="137" xfId="0" applyBorder="1" applyAlignment="1">
      <alignment vertical="center"/>
    </xf>
    <xf numFmtId="3" fontId="9" fillId="40" borderId="171" xfId="0" applyNumberFormat="1" applyFont="1" applyFill="1" applyBorder="1" applyAlignment="1">
      <alignment vertical="center"/>
    </xf>
    <xf numFmtId="3" fontId="9" fillId="40" borderId="162" xfId="0" applyNumberFormat="1" applyFont="1" applyFill="1" applyBorder="1" applyAlignment="1">
      <alignment vertical="center"/>
    </xf>
    <xf numFmtId="0" fontId="0" fillId="0" borderId="0" xfId="0" applyAlignment="1">
      <alignment horizontal="right" vertical="center"/>
    </xf>
    <xf numFmtId="3" fontId="9" fillId="0" borderId="0" xfId="0" applyNumberFormat="1" applyFont="1" applyAlignment="1">
      <alignment vertical="center"/>
    </xf>
    <xf numFmtId="0" fontId="0" fillId="57" borderId="12" xfId="0" applyFill="1" applyBorder="1" applyAlignment="1">
      <alignment horizontal="right" vertical="center"/>
    </xf>
    <xf numFmtId="0" fontId="5" fillId="40" borderId="134" xfId="0" applyFont="1" applyFill="1" applyBorder="1" applyAlignment="1">
      <alignment horizontal="center" vertical="center"/>
    </xf>
    <xf numFmtId="0" fontId="5" fillId="40" borderId="84" xfId="0" applyFont="1" applyFill="1" applyBorder="1" applyAlignment="1">
      <alignment horizontal="center" vertical="center"/>
    </xf>
    <xf numFmtId="0" fontId="5" fillId="0" borderId="90" xfId="0" applyFont="1" applyBorder="1" applyAlignment="1">
      <alignment horizontal="center" vertical="center"/>
    </xf>
    <xf numFmtId="0" fontId="5" fillId="0" borderId="43" xfId="0" applyFont="1" applyBorder="1" applyAlignment="1">
      <alignment horizontal="center" vertical="center"/>
    </xf>
    <xf numFmtId="0" fontId="5" fillId="0" borderId="85" xfId="0" applyFont="1" applyBorder="1" applyAlignment="1">
      <alignment horizontal="center" vertical="center"/>
    </xf>
    <xf numFmtId="0" fontId="3" fillId="57" borderId="36" xfId="0" applyFont="1" applyFill="1" applyBorder="1" applyAlignment="1">
      <alignment horizontal="center" vertical="center"/>
    </xf>
    <xf numFmtId="0" fontId="3" fillId="57" borderId="64" xfId="0" applyFont="1" applyFill="1" applyBorder="1" applyAlignment="1">
      <alignment horizontal="left" vertical="center"/>
    </xf>
    <xf numFmtId="0" fontId="77" fillId="57" borderId="46" xfId="0" applyFont="1" applyFill="1" applyBorder="1" applyAlignment="1">
      <alignment horizontal="center" vertical="center"/>
    </xf>
    <xf numFmtId="0" fontId="77" fillId="57" borderId="22" xfId="0" applyFont="1" applyFill="1" applyBorder="1" applyAlignment="1">
      <alignment horizontal="center" vertical="center"/>
    </xf>
    <xf numFmtId="0" fontId="77" fillId="57" borderId="39" xfId="0" applyFont="1" applyFill="1" applyBorder="1" applyAlignment="1">
      <alignment horizontal="center" vertical="center"/>
    </xf>
    <xf numFmtId="0" fontId="77" fillId="54" borderId="46" xfId="0" applyFont="1" applyFill="1" applyBorder="1" applyAlignment="1">
      <alignment horizontal="center" vertical="center"/>
    </xf>
    <xf numFmtId="0" fontId="77" fillId="54" borderId="22" xfId="0" applyFont="1" applyFill="1" applyBorder="1" applyAlignment="1">
      <alignment horizontal="center" vertical="center"/>
    </xf>
    <xf numFmtId="0" fontId="77" fillId="54" borderId="39" xfId="0" applyFont="1" applyFill="1" applyBorder="1" applyAlignment="1">
      <alignment horizontal="center" vertical="center"/>
    </xf>
    <xf numFmtId="0" fontId="0" fillId="0" borderId="176" xfId="0" applyBorder="1" applyAlignment="1">
      <alignment horizontal="left" vertical="center"/>
    </xf>
    <xf numFmtId="0" fontId="0" fillId="0" borderId="178" xfId="0" applyBorder="1" applyAlignment="1">
      <alignment vertical="center"/>
    </xf>
    <xf numFmtId="0" fontId="0" fillId="0" borderId="178" xfId="0" applyBorder="1" applyAlignment="1">
      <alignment horizontal="center" vertical="center"/>
    </xf>
    <xf numFmtId="3" fontId="0" fillId="40" borderId="151" xfId="0" applyNumberFormat="1" applyFill="1" applyBorder="1" applyAlignment="1">
      <alignment vertical="center"/>
    </xf>
    <xf numFmtId="3" fontId="0" fillId="40" borderId="140" xfId="0" applyNumberFormat="1" applyFill="1" applyBorder="1" applyAlignment="1">
      <alignment vertical="center"/>
    </xf>
    <xf numFmtId="3" fontId="75" fillId="0" borderId="0" xfId="0" applyNumberFormat="1" applyFont="1" applyAlignment="1">
      <alignment vertical="center"/>
    </xf>
    <xf numFmtId="0" fontId="0" fillId="0" borderId="179" xfId="0" applyBorder="1" applyAlignment="1">
      <alignment vertical="center"/>
    </xf>
    <xf numFmtId="0" fontId="0" fillId="0" borderId="179" xfId="0" applyBorder="1" applyAlignment="1">
      <alignment horizontal="center" vertical="center"/>
    </xf>
    <xf numFmtId="3" fontId="0" fillId="40" borderId="153" xfId="0" applyNumberFormat="1" applyFill="1" applyBorder="1" applyAlignment="1">
      <alignment vertical="center"/>
    </xf>
    <xf numFmtId="3" fontId="0" fillId="40" borderId="107" xfId="0" applyNumberFormat="1" applyFill="1" applyBorder="1" applyAlignment="1">
      <alignment vertical="center"/>
    </xf>
    <xf numFmtId="0" fontId="0" fillId="0" borderId="179" xfId="0" applyBorder="1" applyAlignment="1">
      <alignment horizontal="right" vertical="center"/>
    </xf>
    <xf numFmtId="0" fontId="0" fillId="0" borderId="180" xfId="0" applyBorder="1" applyAlignment="1">
      <alignment horizontal="right" vertical="center"/>
    </xf>
    <xf numFmtId="0" fontId="0" fillId="0" borderId="180" xfId="0" applyBorder="1" applyAlignment="1">
      <alignment horizontal="center" vertical="center"/>
    </xf>
    <xf numFmtId="0" fontId="0" fillId="0" borderId="180" xfId="0" applyBorder="1" applyAlignment="1">
      <alignment vertical="center"/>
    </xf>
    <xf numFmtId="3" fontId="0" fillId="40" borderId="155" xfId="0" applyNumberFormat="1" applyFill="1" applyBorder="1" applyAlignment="1">
      <alignment vertical="center"/>
    </xf>
    <xf numFmtId="3" fontId="0" fillId="40" borderId="108" xfId="0" applyNumberFormat="1" applyFill="1" applyBorder="1" applyAlignment="1">
      <alignment vertical="center"/>
    </xf>
    <xf numFmtId="3" fontId="0" fillId="40" borderId="157" xfId="0" applyNumberFormat="1" applyFill="1" applyBorder="1" applyAlignment="1">
      <alignment vertical="center"/>
    </xf>
    <xf numFmtId="3" fontId="0" fillId="40" borderId="109" xfId="0" applyNumberFormat="1" applyFill="1" applyBorder="1" applyAlignment="1">
      <alignment vertical="center"/>
    </xf>
    <xf numFmtId="3" fontId="0" fillId="40" borderId="159" xfId="0" applyNumberFormat="1" applyFill="1" applyBorder="1" applyAlignment="1">
      <alignment vertical="center"/>
    </xf>
    <xf numFmtId="0" fontId="0" fillId="0" borderId="181" xfId="0" applyBorder="1" applyAlignment="1">
      <alignment vertical="center"/>
    </xf>
    <xf numFmtId="0" fontId="0" fillId="0" borderId="181" xfId="0" applyBorder="1" applyAlignment="1">
      <alignment horizontal="center" vertical="center"/>
    </xf>
    <xf numFmtId="3" fontId="0" fillId="40" borderId="161" xfId="0" applyNumberFormat="1" applyFill="1" applyBorder="1" applyAlignment="1">
      <alignment vertical="center"/>
    </xf>
    <xf numFmtId="3" fontId="0" fillId="40" borderId="162" xfId="0" applyNumberFormat="1" applyFill="1" applyBorder="1" applyAlignment="1">
      <alignment vertical="center"/>
    </xf>
    <xf numFmtId="0" fontId="5" fillId="40" borderId="131" xfId="0" applyFont="1" applyFill="1" applyBorder="1" applyAlignment="1">
      <alignment horizontal="center" vertical="center"/>
    </xf>
    <xf numFmtId="0" fontId="5" fillId="40" borderId="132" xfId="0" applyFont="1" applyFill="1" applyBorder="1" applyAlignment="1">
      <alignment horizontal="center" vertical="center"/>
    </xf>
    <xf numFmtId="0" fontId="5" fillId="40" borderId="133" xfId="0" applyFont="1" applyFill="1" applyBorder="1" applyAlignment="1">
      <alignment horizontal="center" vertical="center"/>
    </xf>
    <xf numFmtId="0" fontId="5" fillId="0" borderId="131" xfId="0" applyFont="1" applyBorder="1" applyAlignment="1">
      <alignment horizontal="center" vertical="center"/>
    </xf>
    <xf numFmtId="0" fontId="5" fillId="0" borderId="132" xfId="0" applyFont="1" applyBorder="1" applyAlignment="1">
      <alignment horizontal="center" vertical="center"/>
    </xf>
    <xf numFmtId="0" fontId="5" fillId="0" borderId="133" xfId="0" applyFont="1" applyBorder="1" applyAlignment="1">
      <alignment horizontal="center" vertical="center"/>
    </xf>
    <xf numFmtId="0" fontId="77" fillId="45" borderId="89" xfId="0" applyFont="1" applyFill="1" applyBorder="1" applyAlignment="1">
      <alignment horizontal="center" vertical="center"/>
    </xf>
    <xf numFmtId="167" fontId="0" fillId="0" borderId="0" xfId="0" applyNumberFormat="1" applyAlignment="1">
      <alignment vertical="center"/>
    </xf>
    <xf numFmtId="0" fontId="77" fillId="57" borderId="89" xfId="0" applyFont="1" applyFill="1" applyBorder="1" applyAlignment="1">
      <alignment horizontal="center" vertical="center"/>
    </xf>
    <xf numFmtId="0" fontId="77" fillId="57" borderId="82" xfId="0" applyFont="1" applyFill="1" applyBorder="1" applyAlignment="1">
      <alignment horizontal="center" vertical="center"/>
    </xf>
    <xf numFmtId="0" fontId="77" fillId="57" borderId="83" xfId="0" applyFont="1" applyFill="1" applyBorder="1" applyAlignment="1">
      <alignment horizontal="center" vertical="center"/>
    </xf>
    <xf numFmtId="0" fontId="77" fillId="54" borderId="89" xfId="0" applyFont="1" applyFill="1" applyBorder="1" applyAlignment="1">
      <alignment horizontal="center" vertical="center"/>
    </xf>
    <xf numFmtId="0" fontId="77" fillId="54" borderId="82" xfId="0" applyFont="1" applyFill="1" applyBorder="1" applyAlignment="1">
      <alignment horizontal="center" vertical="center"/>
    </xf>
    <xf numFmtId="0" fontId="77" fillId="54" borderId="83" xfId="0" applyFont="1" applyFill="1" applyBorder="1" applyAlignment="1">
      <alignment horizontal="center" vertical="center"/>
    </xf>
    <xf numFmtId="0" fontId="9" fillId="0" borderId="173" xfId="0" applyFont="1" applyBorder="1" applyAlignment="1">
      <alignment vertical="center"/>
    </xf>
    <xf numFmtId="2" fontId="0" fillId="10" borderId="184" xfId="0" applyNumberFormat="1" applyFill="1" applyBorder="1" applyAlignment="1">
      <alignment vertical="center"/>
    </xf>
    <xf numFmtId="2" fontId="0" fillId="40" borderId="123" xfId="0" applyNumberFormat="1" applyFill="1" applyBorder="1" applyAlignment="1">
      <alignment horizontal="center" vertical="center"/>
    </xf>
    <xf numFmtId="2" fontId="0" fillId="40" borderId="124" xfId="0" applyNumberFormat="1" applyFill="1" applyBorder="1" applyAlignment="1">
      <alignment horizontal="center" vertical="center"/>
    </xf>
    <xf numFmtId="2" fontId="0" fillId="0" borderId="123" xfId="0" applyNumberFormat="1" applyBorder="1" applyAlignment="1">
      <alignment horizontal="center" vertical="center"/>
    </xf>
    <xf numFmtId="2" fontId="0" fillId="0" borderId="124" xfId="0" applyNumberFormat="1" applyBorder="1" applyAlignment="1">
      <alignment horizontal="center" vertical="center"/>
    </xf>
    <xf numFmtId="2" fontId="0" fillId="0" borderId="125" xfId="0" applyNumberFormat="1" applyBorder="1" applyAlignment="1">
      <alignment horizontal="center" vertical="center"/>
    </xf>
    <xf numFmtId="2" fontId="0" fillId="0" borderId="0" xfId="0" applyNumberFormat="1" applyAlignment="1">
      <alignment vertical="center"/>
    </xf>
    <xf numFmtId="0" fontId="9" fillId="0" borderId="169" xfId="0" applyFont="1" applyBorder="1" applyAlignment="1">
      <alignment vertical="center"/>
    </xf>
    <xf numFmtId="2" fontId="0" fillId="10" borderId="141" xfId="0" applyNumberFormat="1" applyFill="1" applyBorder="1" applyAlignment="1">
      <alignment vertical="center"/>
    </xf>
    <xf numFmtId="2" fontId="0" fillId="40" borderId="145" xfId="0" applyNumberFormat="1" applyFill="1" applyBorder="1" applyAlignment="1">
      <alignment horizontal="center" vertical="center"/>
    </xf>
    <xf numFmtId="2" fontId="0" fillId="40" borderId="120" xfId="0" applyNumberFormat="1" applyFill="1" applyBorder="1" applyAlignment="1">
      <alignment horizontal="center" vertical="center"/>
    </xf>
    <xf numFmtId="2" fontId="0" fillId="0" borderId="145" xfId="0" applyNumberFormat="1" applyBorder="1" applyAlignment="1">
      <alignment horizontal="center" vertical="center"/>
    </xf>
    <xf numFmtId="2" fontId="0" fillId="0" borderId="120" xfId="0" applyNumberFormat="1" applyBorder="1" applyAlignment="1">
      <alignment horizontal="center" vertical="center"/>
    </xf>
    <xf numFmtId="2" fontId="0" fillId="0" borderId="146" xfId="0" applyNumberFormat="1" applyBorder="1" applyAlignment="1">
      <alignment horizontal="center" vertical="center"/>
    </xf>
    <xf numFmtId="0" fontId="9" fillId="0" borderId="176" xfId="0" applyFont="1" applyBorder="1" applyAlignment="1">
      <alignment vertical="center"/>
    </xf>
    <xf numFmtId="2" fontId="0" fillId="10" borderId="185" xfId="0" applyNumberFormat="1" applyFill="1" applyBorder="1" applyAlignment="1">
      <alignment vertical="center"/>
    </xf>
    <xf numFmtId="2" fontId="0" fillId="40" borderId="142" xfId="0" applyNumberFormat="1" applyFill="1" applyBorder="1" applyAlignment="1">
      <alignment horizontal="center" vertical="center"/>
    </xf>
    <xf numFmtId="2" fontId="0" fillId="40" borderId="144" xfId="0" applyNumberFormat="1" applyFill="1" applyBorder="1" applyAlignment="1">
      <alignment horizontal="center" vertical="center"/>
    </xf>
    <xf numFmtId="2" fontId="0" fillId="0" borderId="142" xfId="0" applyNumberFormat="1" applyBorder="1" applyAlignment="1">
      <alignment horizontal="center" vertical="center"/>
    </xf>
    <xf numFmtId="2" fontId="0" fillId="0" borderId="144" xfId="0" applyNumberFormat="1" applyBorder="1" applyAlignment="1">
      <alignment horizontal="center" vertical="center"/>
    </xf>
    <xf numFmtId="2" fontId="0" fillId="0" borderId="143" xfId="0" applyNumberFormat="1" applyBorder="1" applyAlignment="1">
      <alignment horizontal="center" vertical="center"/>
    </xf>
    <xf numFmtId="0" fontId="9" fillId="0" borderId="167" xfId="0" applyFont="1" applyBorder="1" applyAlignment="1">
      <alignment vertical="center"/>
    </xf>
    <xf numFmtId="2" fontId="0" fillId="10" borderId="186" xfId="0" applyNumberFormat="1" applyFill="1" applyBorder="1" applyAlignment="1">
      <alignment vertical="center"/>
    </xf>
    <xf numFmtId="2" fontId="0" fillId="40" borderId="126" xfId="0" applyNumberFormat="1" applyFill="1" applyBorder="1" applyAlignment="1">
      <alignment horizontal="center" vertical="center"/>
    </xf>
    <xf numFmtId="2" fontId="0" fillId="40" borderId="119" xfId="0" applyNumberFormat="1" applyFill="1" applyBorder="1" applyAlignment="1">
      <alignment horizontal="center" vertical="center"/>
    </xf>
    <xf numFmtId="2" fontId="0" fillId="0" borderId="126" xfId="0" applyNumberFormat="1" applyBorder="1" applyAlignment="1">
      <alignment horizontal="center" vertical="center"/>
    </xf>
    <xf numFmtId="2" fontId="0" fillId="0" borderId="119" xfId="0" applyNumberFormat="1" applyBorder="1" applyAlignment="1">
      <alignment horizontal="center" vertical="center"/>
    </xf>
    <xf numFmtId="2" fontId="0" fillId="0" borderId="127" xfId="0" applyNumberFormat="1" applyBorder="1" applyAlignment="1">
      <alignment horizontal="center" vertical="center"/>
    </xf>
    <xf numFmtId="0" fontId="9" fillId="0" borderId="9" xfId="0" applyFont="1" applyBorder="1" applyAlignment="1">
      <alignment vertical="center"/>
    </xf>
    <xf numFmtId="2" fontId="0" fillId="10" borderId="187" xfId="0" applyNumberFormat="1" applyFill="1" applyBorder="1" applyAlignment="1">
      <alignment vertical="center"/>
    </xf>
    <xf numFmtId="2" fontId="0" fillId="40" borderId="147" xfId="0" applyNumberFormat="1" applyFill="1" applyBorder="1" applyAlignment="1">
      <alignment horizontal="center" vertical="center"/>
    </xf>
    <xf numFmtId="2" fontId="0" fillId="40" borderId="100" xfId="0" applyNumberFormat="1" applyFill="1" applyBorder="1" applyAlignment="1">
      <alignment horizontal="center" vertical="center"/>
    </xf>
    <xf numFmtId="2" fontId="0" fillId="0" borderId="147" xfId="0" applyNumberFormat="1" applyBorder="1" applyAlignment="1">
      <alignment horizontal="center" vertical="center"/>
    </xf>
    <xf numFmtId="2" fontId="0" fillId="0" borderId="100" xfId="0" applyNumberFormat="1" applyBorder="1" applyAlignment="1">
      <alignment horizontal="center" vertical="center"/>
    </xf>
    <xf numFmtId="2" fontId="0" fillId="0" borderId="148" xfId="0" applyNumberFormat="1" applyBorder="1" applyAlignment="1">
      <alignment horizontal="center" vertical="center"/>
    </xf>
    <xf numFmtId="0" fontId="9" fillId="0" borderId="71" xfId="0" applyFont="1" applyBorder="1" applyAlignment="1">
      <alignment vertical="center"/>
    </xf>
    <xf numFmtId="2" fontId="0" fillId="10" borderId="38" xfId="0" applyNumberFormat="1" applyFill="1" applyBorder="1" applyAlignment="1">
      <alignment vertical="center"/>
    </xf>
    <xf numFmtId="2" fontId="0" fillId="40" borderId="149" xfId="0" applyNumberFormat="1" applyFill="1" applyBorder="1" applyAlignment="1">
      <alignment horizontal="center" vertical="center"/>
    </xf>
    <xf numFmtId="2" fontId="0" fillId="40" borderId="106" xfId="0" applyNumberFormat="1" applyFill="1" applyBorder="1" applyAlignment="1">
      <alignment horizontal="center" vertical="center"/>
    </xf>
    <xf numFmtId="2" fontId="0" fillId="0" borderId="149" xfId="0" applyNumberFormat="1" applyBorder="1" applyAlignment="1">
      <alignment horizontal="center" vertical="center"/>
    </xf>
    <xf numFmtId="2" fontId="0" fillId="0" borderId="106" xfId="0" applyNumberFormat="1" applyBorder="1" applyAlignment="1">
      <alignment horizontal="center" vertical="center"/>
    </xf>
    <xf numFmtId="2" fontId="0" fillId="0" borderId="150" xfId="0" applyNumberFormat="1" applyBorder="1" applyAlignment="1">
      <alignment horizontal="center" vertical="center"/>
    </xf>
    <xf numFmtId="0" fontId="9" fillId="0" borderId="5" xfId="0" applyFont="1" applyBorder="1" applyAlignment="1">
      <alignment vertical="center"/>
    </xf>
    <xf numFmtId="2" fontId="0" fillId="10" borderId="11" xfId="0" applyNumberFormat="1" applyFill="1" applyBorder="1" applyAlignment="1">
      <alignment vertical="center"/>
    </xf>
    <xf numFmtId="2" fontId="0" fillId="40" borderId="131" xfId="0" applyNumberFormat="1" applyFill="1" applyBorder="1" applyAlignment="1">
      <alignment horizontal="center" vertical="center"/>
    </xf>
    <xf numFmtId="2" fontId="0" fillId="40" borderId="132" xfId="0" applyNumberFormat="1" applyFill="1" applyBorder="1" applyAlignment="1">
      <alignment horizontal="center" vertical="center"/>
    </xf>
    <xf numFmtId="2" fontId="0" fillId="0" borderId="131" xfId="0" applyNumberFormat="1" applyBorder="1" applyAlignment="1">
      <alignment horizontal="center" vertical="center"/>
    </xf>
    <xf numFmtId="2" fontId="0" fillId="0" borderId="132" xfId="0" applyNumberFormat="1" applyBorder="1" applyAlignment="1">
      <alignment horizontal="center" vertical="center"/>
    </xf>
    <xf numFmtId="2" fontId="0" fillId="0" borderId="133" xfId="0" applyNumberFormat="1" applyBorder="1" applyAlignment="1">
      <alignment horizontal="center" vertical="center"/>
    </xf>
    <xf numFmtId="0" fontId="7" fillId="0" borderId="176" xfId="0" applyFont="1" applyBorder="1" applyAlignment="1">
      <alignment horizontal="left" vertical="center"/>
    </xf>
    <xf numFmtId="0" fontId="7" fillId="0" borderId="139" xfId="0" applyFont="1" applyBorder="1" applyAlignment="1">
      <alignment horizontal="left" vertical="center"/>
    </xf>
    <xf numFmtId="3" fontId="5" fillId="10" borderId="185" xfId="0" applyNumberFormat="1" applyFont="1" applyFill="1" applyBorder="1" applyAlignment="1">
      <alignment vertical="center"/>
    </xf>
    <xf numFmtId="184" fontId="5" fillId="40" borderId="176" xfId="0" applyNumberFormat="1" applyFont="1" applyFill="1" applyBorder="1" applyAlignment="1">
      <alignment vertical="center"/>
    </xf>
    <xf numFmtId="184" fontId="5" fillId="40" borderId="138" xfId="0" applyNumberFormat="1" applyFont="1" applyFill="1" applyBorder="1" applyAlignment="1">
      <alignment vertical="center"/>
    </xf>
    <xf numFmtId="0" fontId="59" fillId="0" borderId="170" xfId="0" applyFont="1" applyBorder="1" applyAlignment="1">
      <alignment horizontal="right" vertical="center"/>
    </xf>
    <xf numFmtId="3" fontId="0" fillId="10" borderId="141" xfId="0" applyNumberFormat="1" applyFill="1" applyBorder="1" applyAlignment="1">
      <alignment vertical="center"/>
    </xf>
    <xf numFmtId="3" fontId="0" fillId="40" borderId="169" xfId="0" applyNumberFormat="1" applyFill="1" applyBorder="1" applyAlignment="1">
      <alignment vertical="center"/>
    </xf>
    <xf numFmtId="3" fontId="0" fillId="40" borderId="111" xfId="0" applyNumberFormat="1" applyFill="1" applyBorder="1" applyAlignment="1">
      <alignment vertical="center"/>
    </xf>
    <xf numFmtId="0" fontId="9" fillId="0" borderId="5" xfId="0" applyFont="1" applyBorder="1" applyAlignment="1">
      <alignment horizontal="left" vertical="center"/>
    </xf>
    <xf numFmtId="0" fontId="9" fillId="0" borderId="6" xfId="0" applyFont="1" applyBorder="1" applyAlignment="1">
      <alignment horizontal="left" vertical="center"/>
    </xf>
    <xf numFmtId="0" fontId="0" fillId="0" borderId="14" xfId="0" applyBorder="1" applyAlignment="1">
      <alignment vertical="center"/>
    </xf>
    <xf numFmtId="3" fontId="0" fillId="10" borderId="11" xfId="0" applyNumberFormat="1" applyFill="1" applyBorder="1" applyAlignment="1">
      <alignment vertical="center"/>
    </xf>
    <xf numFmtId="3" fontId="0" fillId="40" borderId="5" xfId="0" applyNumberFormat="1" applyFill="1" applyBorder="1" applyAlignment="1">
      <alignment vertical="center"/>
    </xf>
    <xf numFmtId="3" fontId="0" fillId="40" borderId="45" xfId="0" applyNumberFormat="1" applyFill="1" applyBorder="1" applyAlignment="1">
      <alignment vertical="center"/>
    </xf>
    <xf numFmtId="0" fontId="7" fillId="0" borderId="169" xfId="0" applyFont="1" applyBorder="1" applyAlignment="1">
      <alignment horizontal="left" vertical="center"/>
    </xf>
    <xf numFmtId="0" fontId="7" fillId="0" borderId="117" xfId="0" applyFont="1" applyBorder="1" applyAlignment="1">
      <alignment horizontal="left" vertical="center"/>
    </xf>
    <xf numFmtId="3" fontId="5" fillId="10" borderId="141" xfId="0" applyNumberFormat="1" applyFont="1" applyFill="1" applyBorder="1" applyAlignment="1">
      <alignment vertical="center"/>
    </xf>
    <xf numFmtId="184" fontId="5" fillId="40" borderId="169" xfId="0" applyNumberFormat="1" applyFont="1" applyFill="1" applyBorder="1" applyAlignment="1">
      <alignment vertical="center"/>
    </xf>
    <xf numFmtId="184" fontId="5" fillId="40" borderId="111" xfId="0" applyNumberFormat="1" applyFont="1" applyFill="1" applyBorder="1" applyAlignment="1">
      <alignment vertical="center"/>
    </xf>
    <xf numFmtId="3" fontId="0" fillId="10" borderId="185" xfId="0" applyNumberFormat="1" applyFill="1" applyBorder="1" applyAlignment="1">
      <alignment vertical="center"/>
    </xf>
    <xf numFmtId="3" fontId="0" fillId="40" borderId="176" xfId="0" applyNumberFormat="1" applyFill="1" applyBorder="1" applyAlignment="1">
      <alignment vertical="center"/>
    </xf>
    <xf numFmtId="3" fontId="0" fillId="40" borderId="138" xfId="0" applyNumberFormat="1" applyFill="1" applyBorder="1" applyAlignment="1">
      <alignment vertical="center"/>
    </xf>
    <xf numFmtId="0" fontId="7" fillId="0" borderId="99" xfId="0" applyFont="1" applyBorder="1" applyAlignment="1">
      <alignment horizontal="left" vertical="center"/>
    </xf>
    <xf numFmtId="0" fontId="7" fillId="0" borderId="164" xfId="0" applyFont="1" applyBorder="1" applyAlignment="1">
      <alignment horizontal="left" vertical="center"/>
    </xf>
    <xf numFmtId="0" fontId="59" fillId="0" borderId="53" xfId="0" applyFont="1" applyBorder="1" applyAlignment="1">
      <alignment horizontal="right" vertical="center"/>
    </xf>
    <xf numFmtId="3" fontId="5" fillId="10" borderId="86" xfId="0" applyNumberFormat="1" applyFont="1" applyFill="1" applyBorder="1" applyAlignment="1">
      <alignment vertical="center"/>
    </xf>
    <xf numFmtId="3" fontId="5" fillId="40" borderId="99" xfId="0" applyNumberFormat="1" applyFont="1" applyFill="1" applyBorder="1" applyAlignment="1">
      <alignment vertical="center"/>
    </xf>
    <xf numFmtId="3" fontId="5" fillId="40" borderId="36" xfId="0" applyNumberFormat="1" applyFont="1" applyFill="1" applyBorder="1" applyAlignment="1">
      <alignment vertical="center"/>
    </xf>
    <xf numFmtId="3" fontId="16" fillId="0" borderId="138" xfId="0" applyNumberFormat="1" applyFont="1" applyBorder="1" applyAlignment="1">
      <alignment vertical="center"/>
    </xf>
    <xf numFmtId="3" fontId="16" fillId="0" borderId="177" xfId="0" applyNumberFormat="1" applyFont="1" applyBorder="1" applyAlignment="1">
      <alignment vertical="center"/>
    </xf>
    <xf numFmtId="3" fontId="16" fillId="0" borderId="110" xfId="0" applyNumberFormat="1" applyFont="1" applyBorder="1" applyAlignment="1">
      <alignment vertical="center"/>
    </xf>
    <xf numFmtId="3" fontId="16" fillId="0" borderId="168" xfId="0" applyNumberFormat="1" applyFont="1" applyBorder="1" applyAlignment="1">
      <alignment vertical="center"/>
    </xf>
    <xf numFmtId="3" fontId="16" fillId="0" borderId="111" xfId="0" applyNumberFormat="1" applyFont="1" applyBorder="1" applyAlignment="1">
      <alignment vertical="center"/>
    </xf>
    <xf numFmtId="3" fontId="16" fillId="0" borderId="170" xfId="0" applyNumberFormat="1" applyFont="1" applyBorder="1" applyAlignment="1">
      <alignment vertical="center"/>
    </xf>
    <xf numFmtId="184" fontId="15" fillId="0" borderId="138" xfId="0" applyNumberFormat="1" applyFont="1" applyBorder="1" applyAlignment="1">
      <alignment vertical="center"/>
    </xf>
    <xf numFmtId="184" fontId="15" fillId="0" borderId="177" xfId="0" applyNumberFormat="1" applyFont="1" applyBorder="1" applyAlignment="1">
      <alignment vertical="center"/>
    </xf>
    <xf numFmtId="184" fontId="15" fillId="0" borderId="111" xfId="0" applyNumberFormat="1" applyFont="1" applyBorder="1" applyAlignment="1">
      <alignment vertical="center"/>
    </xf>
    <xf numFmtId="184" fontId="15" fillId="0" borderId="170" xfId="0" applyNumberFormat="1" applyFont="1" applyBorder="1" applyAlignment="1">
      <alignment vertical="center"/>
    </xf>
    <xf numFmtId="3" fontId="16" fillId="0" borderId="45" xfId="0" applyNumberFormat="1" applyFont="1" applyBorder="1" applyAlignment="1">
      <alignment vertical="center"/>
    </xf>
    <xf numFmtId="3" fontId="16" fillId="0" borderId="14" xfId="0" applyNumberFormat="1" applyFont="1" applyBorder="1" applyAlignment="1">
      <alignment vertical="center"/>
    </xf>
    <xf numFmtId="0" fontId="49" fillId="57" borderId="2" xfId="0" applyFont="1" applyFill="1" applyBorder="1" applyAlignment="1">
      <alignment vertical="center"/>
    </xf>
    <xf numFmtId="0" fontId="49" fillId="57" borderId="12" xfId="0" applyFont="1" applyFill="1" applyBorder="1" applyAlignment="1">
      <alignment vertical="center"/>
    </xf>
    <xf numFmtId="0" fontId="49" fillId="57" borderId="104" xfId="0" applyFont="1" applyFill="1" applyBorder="1" applyAlignment="1">
      <alignment vertical="center"/>
    </xf>
    <xf numFmtId="167" fontId="0" fillId="57" borderId="12" xfId="0" applyNumberFormat="1" applyFill="1" applyBorder="1" applyAlignment="1">
      <alignment vertical="center"/>
    </xf>
    <xf numFmtId="0" fontId="88" fillId="57" borderId="2" xfId="0" applyFont="1" applyFill="1" applyBorder="1" applyAlignment="1">
      <alignment vertical="center"/>
    </xf>
    <xf numFmtId="0" fontId="87" fillId="57" borderId="12" xfId="0" applyFont="1" applyFill="1" applyBorder="1" applyAlignment="1">
      <alignment vertical="center"/>
    </xf>
    <xf numFmtId="0" fontId="6" fillId="57" borderId="12" xfId="0" applyFont="1" applyFill="1" applyBorder="1" applyAlignment="1">
      <alignment horizontal="centerContinuous" vertical="center"/>
    </xf>
    <xf numFmtId="0" fontId="6" fillId="57" borderId="104" xfId="0" applyFont="1" applyFill="1" applyBorder="1" applyAlignment="1">
      <alignment horizontal="centerContinuous" vertical="center"/>
    </xf>
    <xf numFmtId="0" fontId="0" fillId="54" borderId="12" xfId="0" applyFill="1" applyBorder="1" applyAlignment="1">
      <alignment horizontal="centerContinuous" vertical="center"/>
    </xf>
    <xf numFmtId="0" fontId="0" fillId="54" borderId="104" xfId="0" applyFill="1" applyBorder="1" applyAlignment="1">
      <alignment horizontal="centerContinuous" vertical="center"/>
    </xf>
    <xf numFmtId="0" fontId="90" fillId="45" borderId="13" xfId="0" applyFont="1" applyFill="1" applyBorder="1" applyAlignment="1">
      <alignment horizontal="center" vertical="center"/>
    </xf>
    <xf numFmtId="0" fontId="80" fillId="46" borderId="105" xfId="0" applyFont="1" applyFill="1" applyBorder="1"/>
    <xf numFmtId="0" fontId="79" fillId="48" borderId="105" xfId="0" applyFont="1" applyFill="1" applyBorder="1" applyAlignment="1">
      <alignment horizontal="center"/>
    </xf>
    <xf numFmtId="0" fontId="0" fillId="0" borderId="9" xfId="0" applyBorder="1" applyAlignment="1">
      <alignment vertical="center"/>
    </xf>
    <xf numFmtId="0" fontId="5" fillId="0" borderId="17" xfId="0" applyFont="1" applyBorder="1" applyAlignment="1">
      <alignment horizontal="center" vertical="center"/>
    </xf>
    <xf numFmtId="0" fontId="0" fillId="0" borderId="22" xfId="0" applyBorder="1" applyAlignment="1">
      <alignment horizontal="center" vertical="center"/>
    </xf>
    <xf numFmtId="0" fontId="93" fillId="0" borderId="0" xfId="0" applyFont="1" applyAlignment="1">
      <alignment vertical="center"/>
    </xf>
    <xf numFmtId="0" fontId="79" fillId="58" borderId="13" xfId="0" applyFont="1" applyFill="1" applyBorder="1" applyAlignment="1" applyProtection="1">
      <alignment horizontal="center" vertical="center"/>
      <protection locked="0"/>
    </xf>
    <xf numFmtId="180" fontId="0" fillId="0" borderId="9" xfId="0" applyNumberFormat="1" applyBorder="1" applyAlignment="1">
      <alignment horizontal="center" vertical="center"/>
    </xf>
    <xf numFmtId="180" fontId="0" fillId="0" borderId="0" xfId="0" applyNumberFormat="1" applyAlignment="1">
      <alignment horizontal="center" vertical="center"/>
    </xf>
    <xf numFmtId="2" fontId="0" fillId="0" borderId="191" xfId="0" applyNumberFormat="1" applyBorder="1" applyAlignment="1">
      <alignment horizontal="center" vertical="center"/>
    </xf>
    <xf numFmtId="2" fontId="0" fillId="0" borderId="192" xfId="0" applyNumberFormat="1" applyBorder="1" applyAlignment="1">
      <alignment horizontal="center" vertical="center"/>
    </xf>
    <xf numFmtId="2" fontId="0" fillId="0" borderId="193" xfId="0" applyNumberFormat="1" applyBorder="1" applyAlignment="1">
      <alignment horizontal="center" vertical="center"/>
    </xf>
    <xf numFmtId="2" fontId="0" fillId="0" borderId="194" xfId="0" applyNumberFormat="1" applyBorder="1" applyAlignment="1">
      <alignment horizontal="center" vertical="center"/>
    </xf>
    <xf numFmtId="2" fontId="0" fillId="0" borderId="195" xfId="0" applyNumberFormat="1" applyBorder="1" applyAlignment="1">
      <alignment horizontal="center" vertical="center"/>
    </xf>
    <xf numFmtId="2" fontId="0" fillId="0" borderId="196" xfId="0" applyNumberFormat="1" applyBorder="1" applyAlignment="1">
      <alignment horizontal="center" vertical="center"/>
    </xf>
    <xf numFmtId="0" fontId="90" fillId="54" borderId="3" xfId="0" applyFont="1" applyFill="1" applyBorder="1" applyAlignment="1">
      <alignment horizontal="centerContinuous" vertical="center"/>
    </xf>
    <xf numFmtId="0" fontId="0" fillId="54" borderId="4" xfId="0" applyFill="1" applyBorder="1" applyAlignment="1">
      <alignment horizontal="centerContinuous" vertical="center"/>
    </xf>
    <xf numFmtId="0" fontId="0" fillId="54" borderId="8" xfId="0" applyFill="1" applyBorder="1" applyAlignment="1">
      <alignment horizontal="centerContinuous" vertical="center"/>
    </xf>
    <xf numFmtId="0" fontId="94" fillId="54" borderId="88" xfId="0" applyFont="1" applyFill="1" applyBorder="1" applyAlignment="1">
      <alignment horizontal="center" vertical="center"/>
    </xf>
    <xf numFmtId="0" fontId="94" fillId="54" borderId="104" xfId="0" applyFont="1" applyFill="1" applyBorder="1" applyAlignment="1">
      <alignment horizontal="center" vertical="center"/>
    </xf>
    <xf numFmtId="0" fontId="5" fillId="0" borderId="2" xfId="0" applyFont="1" applyBorder="1" applyAlignment="1">
      <alignment horizontal="centerContinuous" vertical="center"/>
    </xf>
    <xf numFmtId="0" fontId="5" fillId="0" borderId="88" xfId="0" applyFont="1" applyBorder="1" applyAlignment="1">
      <alignment horizontal="centerContinuous" vertical="center"/>
    </xf>
    <xf numFmtId="0" fontId="5" fillId="0" borderId="190" xfId="0" applyFont="1" applyBorder="1" applyAlignment="1">
      <alignment horizontal="centerContinuous" vertical="center"/>
    </xf>
    <xf numFmtId="0" fontId="5" fillId="0" borderId="104" xfId="0" applyFont="1" applyBorder="1" applyAlignment="1">
      <alignment horizontal="centerContinuous" vertical="center"/>
    </xf>
    <xf numFmtId="0" fontId="95" fillId="57" borderId="12" xfId="0" applyFont="1" applyFill="1" applyBorder="1" applyAlignment="1">
      <alignment vertical="center"/>
    </xf>
    <xf numFmtId="0" fontId="76" fillId="60" borderId="15" xfId="0" applyFont="1" applyFill="1" applyBorder="1" applyAlignment="1">
      <alignment horizontal="centerContinuous" vertical="center"/>
    </xf>
    <xf numFmtId="0" fontId="76" fillId="60" borderId="17" xfId="0" applyFont="1" applyFill="1" applyBorder="1" applyAlignment="1">
      <alignment horizontal="centerContinuous" vertical="center"/>
    </xf>
    <xf numFmtId="0" fontId="9" fillId="0" borderId="171" xfId="0" applyFont="1" applyBorder="1" applyAlignment="1">
      <alignment vertical="center"/>
    </xf>
    <xf numFmtId="2" fontId="0" fillId="10" borderId="188" xfId="0" applyNumberFormat="1" applyFill="1" applyBorder="1" applyAlignment="1">
      <alignment vertical="center"/>
    </xf>
    <xf numFmtId="2" fontId="0" fillId="40" borderId="128" xfId="0" applyNumberFormat="1" applyFill="1" applyBorder="1" applyAlignment="1">
      <alignment horizontal="center" vertical="center"/>
    </xf>
    <xf numFmtId="2" fontId="0" fillId="40" borderId="129" xfId="0" applyNumberFormat="1" applyFill="1" applyBorder="1" applyAlignment="1">
      <alignment horizontal="center" vertical="center"/>
    </xf>
    <xf numFmtId="2" fontId="0" fillId="0" borderId="128" xfId="0" applyNumberFormat="1" applyBorder="1" applyAlignment="1">
      <alignment horizontal="center" vertical="center"/>
    </xf>
    <xf numFmtId="2" fontId="0" fillId="0" borderId="129" xfId="0" applyNumberFormat="1" applyBorder="1" applyAlignment="1">
      <alignment horizontal="center" vertical="center"/>
    </xf>
    <xf numFmtId="2" fontId="0" fillId="0" borderId="198" xfId="0" applyNumberFormat="1" applyBorder="1" applyAlignment="1">
      <alignment horizontal="center" vertical="center"/>
    </xf>
    <xf numFmtId="3" fontId="97" fillId="60" borderId="174" xfId="0" applyNumberFormat="1" applyFont="1" applyFill="1" applyBorder="1" applyAlignment="1" applyProtection="1">
      <alignment horizontal="center" vertical="center"/>
      <protection locked="0"/>
    </xf>
    <xf numFmtId="3" fontId="97" fillId="60" borderId="111" xfId="0" applyNumberFormat="1" applyFont="1" applyFill="1" applyBorder="1" applyAlignment="1" applyProtection="1">
      <alignment horizontal="center" vertical="center"/>
      <protection locked="0"/>
    </xf>
    <xf numFmtId="3" fontId="97" fillId="60" borderId="175" xfId="0" applyNumberFormat="1" applyFont="1" applyFill="1" applyBorder="1" applyAlignment="1" applyProtection="1">
      <alignment horizontal="center" vertical="center"/>
      <protection locked="0"/>
    </xf>
    <xf numFmtId="3" fontId="97" fillId="60" borderId="170" xfId="0" applyNumberFormat="1" applyFont="1" applyFill="1" applyBorder="1" applyAlignment="1" applyProtection="1">
      <alignment horizontal="center" vertical="center"/>
      <protection locked="0"/>
    </xf>
    <xf numFmtId="3" fontId="97" fillId="60" borderId="138" xfId="0" applyNumberFormat="1" applyFont="1" applyFill="1" applyBorder="1" applyAlignment="1" applyProtection="1">
      <alignment vertical="center"/>
      <protection locked="0"/>
    </xf>
    <xf numFmtId="3" fontId="97" fillId="60" borderId="177" xfId="0" applyNumberFormat="1" applyFont="1" applyFill="1" applyBorder="1" applyAlignment="1" applyProtection="1">
      <alignment vertical="center"/>
      <protection locked="0"/>
    </xf>
    <xf numFmtId="3" fontId="97" fillId="60" borderId="111" xfId="0" applyNumberFormat="1" applyFont="1" applyFill="1" applyBorder="1" applyAlignment="1" applyProtection="1">
      <alignment vertical="center"/>
      <protection locked="0"/>
    </xf>
    <xf numFmtId="3" fontId="97" fillId="60" borderId="170" xfId="0" applyNumberFormat="1" applyFont="1" applyFill="1" applyBorder="1" applyAlignment="1" applyProtection="1">
      <alignment vertical="center"/>
      <protection locked="0"/>
    </xf>
    <xf numFmtId="9" fontId="97" fillId="60" borderId="82" xfId="2" applyFont="1" applyFill="1" applyBorder="1" applyAlignment="1" applyProtection="1">
      <alignment horizontal="center" vertical="center"/>
      <protection locked="0"/>
    </xf>
    <xf numFmtId="9" fontId="97" fillId="60" borderId="104" xfId="2" applyFont="1" applyFill="1" applyBorder="1" applyAlignment="1" applyProtection="1">
      <alignment horizontal="center" vertical="center"/>
      <protection locked="0"/>
    </xf>
    <xf numFmtId="3" fontId="97" fillId="60" borderId="109" xfId="0" applyNumberFormat="1" applyFont="1" applyFill="1" applyBorder="1" applyAlignment="1" applyProtection="1">
      <alignment vertical="center"/>
      <protection locked="0"/>
    </xf>
    <xf numFmtId="3" fontId="97" fillId="60" borderId="166" xfId="0" applyNumberFormat="1" applyFont="1" applyFill="1" applyBorder="1" applyAlignment="1" applyProtection="1">
      <alignment vertical="center"/>
      <protection locked="0"/>
    </xf>
    <xf numFmtId="3" fontId="97" fillId="60" borderId="110" xfId="0" applyNumberFormat="1" applyFont="1" applyFill="1" applyBorder="1" applyAlignment="1" applyProtection="1">
      <alignment vertical="center"/>
      <protection locked="0"/>
    </xf>
    <xf numFmtId="3" fontId="97" fillId="60" borderId="168" xfId="0" applyNumberFormat="1" applyFont="1" applyFill="1" applyBorder="1" applyAlignment="1" applyProtection="1">
      <alignment vertical="center"/>
      <protection locked="0"/>
    </xf>
    <xf numFmtId="3" fontId="97" fillId="60" borderId="162" xfId="0" applyNumberFormat="1" applyFont="1" applyFill="1" applyBorder="1" applyAlignment="1" applyProtection="1">
      <alignment vertical="center"/>
      <protection locked="0"/>
    </xf>
    <xf numFmtId="3" fontId="97" fillId="60" borderId="172" xfId="0" applyNumberFormat="1" applyFont="1" applyFill="1" applyBorder="1" applyAlignment="1" applyProtection="1">
      <alignment vertical="center"/>
      <protection locked="0"/>
    </xf>
    <xf numFmtId="3" fontId="97" fillId="60" borderId="140" xfId="0" applyNumberFormat="1" applyFont="1" applyFill="1" applyBorder="1" applyAlignment="1" applyProtection="1">
      <alignment vertical="center"/>
      <protection locked="0"/>
    </xf>
    <xf numFmtId="3" fontId="97" fillId="60" borderId="152" xfId="0" applyNumberFormat="1" applyFont="1" applyFill="1" applyBorder="1" applyAlignment="1" applyProtection="1">
      <alignment vertical="center"/>
      <protection locked="0"/>
    </xf>
    <xf numFmtId="3" fontId="97" fillId="60" borderId="107" xfId="0" applyNumberFormat="1" applyFont="1" applyFill="1" applyBorder="1" applyAlignment="1" applyProtection="1">
      <alignment vertical="center"/>
      <protection locked="0"/>
    </xf>
    <xf numFmtId="3" fontId="97" fillId="60" borderId="154" xfId="0" applyNumberFormat="1" applyFont="1" applyFill="1" applyBorder="1" applyAlignment="1" applyProtection="1">
      <alignment vertical="center"/>
      <protection locked="0"/>
    </xf>
    <xf numFmtId="3" fontId="97" fillId="60" borderId="108" xfId="0" applyNumberFormat="1" applyFont="1" applyFill="1" applyBorder="1" applyAlignment="1" applyProtection="1">
      <alignment vertical="center"/>
      <protection locked="0"/>
    </xf>
    <xf numFmtId="3" fontId="97" fillId="60" borderId="156" xfId="0" applyNumberFormat="1" applyFont="1" applyFill="1" applyBorder="1" applyAlignment="1" applyProtection="1">
      <alignment vertical="center"/>
      <protection locked="0"/>
    </xf>
    <xf numFmtId="3" fontId="97" fillId="60" borderId="158" xfId="0" applyNumberFormat="1" applyFont="1" applyFill="1" applyBorder="1" applyAlignment="1" applyProtection="1">
      <alignment vertical="center"/>
      <protection locked="0"/>
    </xf>
    <xf numFmtId="3" fontId="97" fillId="60" borderId="160" xfId="0" applyNumberFormat="1" applyFont="1" applyFill="1" applyBorder="1" applyAlignment="1" applyProtection="1">
      <alignment vertical="center"/>
      <protection locked="0"/>
    </xf>
    <xf numFmtId="3" fontId="97" fillId="60" borderId="163" xfId="0" applyNumberFormat="1" applyFont="1" applyFill="1" applyBorder="1" applyAlignment="1" applyProtection="1">
      <alignment vertical="center"/>
      <protection locked="0"/>
    </xf>
    <xf numFmtId="0" fontId="98" fillId="60" borderId="16" xfId="0" applyFont="1" applyFill="1" applyBorder="1" applyAlignment="1">
      <alignment horizontal="centerContinuous" vertical="center"/>
    </xf>
    <xf numFmtId="3" fontId="97" fillId="59" borderId="99" xfId="0" applyNumberFormat="1" applyFont="1" applyFill="1" applyBorder="1" applyAlignment="1">
      <alignment horizontal="centerContinuous" vertical="center"/>
    </xf>
    <xf numFmtId="3" fontId="97" fillId="59" borderId="164" xfId="0" applyNumberFormat="1" applyFont="1" applyFill="1" applyBorder="1" applyAlignment="1">
      <alignment horizontal="centerContinuous" vertical="center"/>
    </xf>
    <xf numFmtId="3" fontId="97" fillId="59" borderId="53" xfId="0" applyNumberFormat="1" applyFont="1" applyFill="1" applyBorder="1" applyAlignment="1">
      <alignment horizontal="centerContinuous" vertical="center"/>
    </xf>
    <xf numFmtId="3" fontId="15" fillId="0" borderId="36" xfId="0" applyNumberFormat="1" applyFont="1" applyBorder="1" applyAlignment="1">
      <alignment vertical="center"/>
    </xf>
    <xf numFmtId="3" fontId="15" fillId="0" borderId="53" xfId="0" applyNumberFormat="1" applyFont="1" applyBorder="1" applyAlignment="1">
      <alignment vertical="center"/>
    </xf>
    <xf numFmtId="170" fontId="99" fillId="40" borderId="174" xfId="2" applyNumberFormat="1" applyFont="1" applyFill="1" applyBorder="1" applyAlignment="1">
      <alignment horizontal="right" vertical="center"/>
    </xf>
    <xf numFmtId="170" fontId="99" fillId="40" borderId="111" xfId="2" applyNumberFormat="1" applyFont="1" applyFill="1" applyBorder="1" applyAlignment="1">
      <alignment horizontal="right" vertical="center"/>
    </xf>
    <xf numFmtId="170" fontId="99" fillId="40" borderId="109" xfId="2" applyNumberFormat="1" applyFont="1" applyFill="1" applyBorder="1" applyAlignment="1">
      <alignment horizontal="right" vertical="center"/>
    </xf>
    <xf numFmtId="170" fontId="99" fillId="40" borderId="110" xfId="2" applyNumberFormat="1" applyFont="1" applyFill="1" applyBorder="1" applyAlignment="1">
      <alignment horizontal="right" vertical="center"/>
    </xf>
    <xf numFmtId="170" fontId="99" fillId="40" borderId="22" xfId="2" applyNumberFormat="1" applyFont="1" applyFill="1" applyBorder="1" applyAlignment="1">
      <alignment horizontal="right" vertical="center"/>
    </xf>
    <xf numFmtId="170" fontId="99" fillId="40" borderId="162" xfId="2" applyNumberFormat="1" applyFont="1" applyFill="1" applyBorder="1" applyAlignment="1">
      <alignment horizontal="right" vertical="center"/>
    </xf>
    <xf numFmtId="170" fontId="99" fillId="40" borderId="175" xfId="2" applyNumberFormat="1" applyFont="1" applyFill="1" applyBorder="1" applyAlignment="1">
      <alignment horizontal="right" vertical="center"/>
    </xf>
    <xf numFmtId="170" fontId="99" fillId="40" borderId="197" xfId="2" applyNumberFormat="1" applyFont="1" applyFill="1" applyBorder="1" applyAlignment="1">
      <alignment horizontal="right" vertical="center"/>
    </xf>
    <xf numFmtId="170" fontId="99" fillId="40" borderId="166" xfId="2" applyNumberFormat="1" applyFont="1" applyFill="1" applyBorder="1" applyAlignment="1">
      <alignment horizontal="right" vertical="center"/>
    </xf>
    <xf numFmtId="170" fontId="99" fillId="40" borderId="170" xfId="2" applyNumberFormat="1" applyFont="1" applyFill="1" applyBorder="1" applyAlignment="1">
      <alignment horizontal="right" vertical="center"/>
    </xf>
    <xf numFmtId="170" fontId="99" fillId="40" borderId="168" xfId="2" applyNumberFormat="1" applyFont="1" applyFill="1" applyBorder="1" applyAlignment="1">
      <alignment horizontal="right" vertical="center"/>
    </xf>
    <xf numFmtId="170" fontId="99" fillId="40" borderId="177" xfId="2" applyNumberFormat="1" applyFont="1" applyFill="1" applyBorder="1" applyAlignment="1">
      <alignment horizontal="right" vertical="center"/>
    </xf>
    <xf numFmtId="170" fontId="99" fillId="40" borderId="70" xfId="2" applyNumberFormat="1" applyFont="1" applyFill="1" applyBorder="1" applyAlignment="1">
      <alignment horizontal="right" vertical="center"/>
    </xf>
    <xf numFmtId="170" fontId="99" fillId="40" borderId="172" xfId="2" applyNumberFormat="1" applyFont="1" applyFill="1" applyBorder="1" applyAlignment="1">
      <alignment horizontal="right" vertical="center"/>
    </xf>
    <xf numFmtId="3" fontId="16" fillId="0" borderId="173" xfId="0" applyNumberFormat="1" applyFont="1" applyBorder="1" applyAlignment="1">
      <alignment horizontal="center" vertical="center"/>
    </xf>
    <xf numFmtId="3" fontId="16" fillId="0" borderId="169" xfId="0" applyNumberFormat="1" applyFont="1" applyBorder="1" applyAlignment="1">
      <alignment horizontal="center" vertical="center"/>
    </xf>
    <xf numFmtId="9" fontId="16" fillId="0" borderId="62" xfId="2" applyFont="1" applyFill="1" applyBorder="1" applyAlignment="1" applyProtection="1">
      <alignment horizontal="center" vertical="center"/>
    </xf>
    <xf numFmtId="9" fontId="16" fillId="0" borderId="159" xfId="2" applyFont="1" applyFill="1" applyBorder="1" applyAlignment="1" applyProtection="1">
      <alignment horizontal="center" vertical="center"/>
    </xf>
    <xf numFmtId="9" fontId="16" fillId="0" borderId="189" xfId="2" applyFont="1" applyFill="1" applyBorder="1" applyAlignment="1" applyProtection="1">
      <alignment horizontal="center" vertical="center"/>
    </xf>
    <xf numFmtId="3" fontId="15" fillId="0" borderId="99" xfId="0" applyNumberFormat="1" applyFont="1" applyBorder="1" applyAlignment="1">
      <alignment vertical="center"/>
    </xf>
    <xf numFmtId="3" fontId="16" fillId="0" borderId="176" xfId="0" applyNumberFormat="1" applyFont="1" applyBorder="1" applyAlignment="1">
      <alignment vertical="center"/>
    </xf>
    <xf numFmtId="3" fontId="16" fillId="0" borderId="169" xfId="0" applyNumberFormat="1" applyFont="1" applyBorder="1" applyAlignment="1">
      <alignment vertical="center"/>
    </xf>
    <xf numFmtId="3" fontId="16" fillId="0" borderId="167" xfId="0" applyNumberFormat="1" applyFont="1" applyBorder="1" applyAlignment="1">
      <alignment vertical="center"/>
    </xf>
    <xf numFmtId="184" fontId="15" fillId="0" borderId="176" xfId="0" applyNumberFormat="1" applyFont="1" applyBorder="1" applyAlignment="1">
      <alignment vertical="center"/>
    </xf>
    <xf numFmtId="184" fontId="15" fillId="0" borderId="169" xfId="0" applyNumberFormat="1" applyFont="1" applyBorder="1" applyAlignment="1">
      <alignment vertical="center"/>
    </xf>
    <xf numFmtId="3" fontId="16" fillId="0" borderId="5" xfId="0" applyNumberFormat="1" applyFont="1" applyBorder="1" applyAlignment="1">
      <alignment vertical="center"/>
    </xf>
    <xf numFmtId="3" fontId="16" fillId="0" borderId="165" xfId="0" applyNumberFormat="1" applyFont="1" applyBorder="1" applyAlignment="1">
      <alignment vertical="center"/>
    </xf>
    <xf numFmtId="3" fontId="16" fillId="0" borderId="171" xfId="0" applyNumberFormat="1" applyFont="1" applyBorder="1" applyAlignment="1">
      <alignment vertical="center"/>
    </xf>
    <xf numFmtId="3" fontId="16" fillId="0" borderId="151" xfId="0" applyNumberFormat="1" applyFont="1" applyBorder="1" applyAlignment="1">
      <alignment vertical="center"/>
    </xf>
    <xf numFmtId="3" fontId="16" fillId="0" borderId="153" xfId="0" applyNumberFormat="1" applyFont="1" applyBorder="1" applyAlignment="1">
      <alignment vertical="center"/>
    </xf>
    <xf numFmtId="3" fontId="16" fillId="0" borderId="155" xfId="0" applyNumberFormat="1" applyFont="1" applyBorder="1" applyAlignment="1">
      <alignment vertical="center"/>
    </xf>
    <xf numFmtId="3" fontId="16" fillId="0" borderId="157" xfId="0" applyNumberFormat="1" applyFont="1" applyBorder="1" applyAlignment="1">
      <alignment vertical="center"/>
    </xf>
    <xf numFmtId="3" fontId="16" fillId="0" borderId="159" xfId="0" applyNumberFormat="1" applyFont="1" applyBorder="1" applyAlignment="1">
      <alignment vertical="center"/>
    </xf>
    <xf numFmtId="3" fontId="16" fillId="0" borderId="161" xfId="0" applyNumberFormat="1" applyFont="1" applyBorder="1" applyAlignment="1">
      <alignment vertical="center"/>
    </xf>
    <xf numFmtId="9" fontId="16" fillId="0" borderId="2" xfId="2" applyFont="1" applyFill="1" applyBorder="1" applyAlignment="1" applyProtection="1">
      <alignment horizontal="center" vertical="center"/>
    </xf>
    <xf numFmtId="9" fontId="97" fillId="60" borderId="138" xfId="2" applyFont="1" applyFill="1" applyBorder="1" applyAlignment="1" applyProtection="1">
      <alignment horizontal="center" vertical="center"/>
      <protection locked="0"/>
    </xf>
    <xf numFmtId="9" fontId="97" fillId="60" borderId="110" xfId="2" applyFont="1" applyFill="1" applyBorder="1" applyAlignment="1" applyProtection="1">
      <alignment horizontal="center" vertical="center"/>
      <protection locked="0"/>
    </xf>
    <xf numFmtId="9" fontId="97" fillId="60" borderId="162" xfId="2" applyFont="1" applyFill="1" applyBorder="1" applyAlignment="1" applyProtection="1">
      <alignment horizontal="center" vertical="center"/>
      <protection locked="0"/>
    </xf>
    <xf numFmtId="3" fontId="97" fillId="60" borderId="164" xfId="0" applyNumberFormat="1" applyFont="1" applyFill="1" applyBorder="1" applyAlignment="1">
      <alignment horizontal="centerContinuous" vertical="center"/>
    </xf>
    <xf numFmtId="3" fontId="97" fillId="60" borderId="53" xfId="0" applyNumberFormat="1" applyFont="1" applyFill="1" applyBorder="1" applyAlignment="1">
      <alignment horizontal="centerContinuous" vertical="center"/>
    </xf>
    <xf numFmtId="9" fontId="97" fillId="60" borderId="199" xfId="2" applyFont="1" applyFill="1" applyBorder="1" applyAlignment="1" applyProtection="1">
      <alignment horizontal="center" vertical="center"/>
      <protection locked="0"/>
    </xf>
    <xf numFmtId="9" fontId="97" fillId="60" borderId="45" xfId="2" applyFont="1" applyFill="1" applyBorder="1" applyAlignment="1" applyProtection="1">
      <alignment horizontal="center" vertical="center"/>
      <protection locked="0"/>
    </xf>
    <xf numFmtId="9" fontId="97" fillId="60" borderId="98" xfId="2" applyFont="1" applyFill="1" applyBorder="1" applyAlignment="1" applyProtection="1">
      <alignment horizontal="center" vertical="center"/>
      <protection locked="0"/>
    </xf>
    <xf numFmtId="9" fontId="97" fillId="60" borderId="160" xfId="2" applyFont="1" applyFill="1" applyBorder="1" applyAlignment="1" applyProtection="1">
      <alignment horizontal="center" vertical="center"/>
      <protection locked="0"/>
    </xf>
    <xf numFmtId="9" fontId="97" fillId="60" borderId="163" xfId="2" applyFont="1" applyFill="1" applyBorder="1" applyAlignment="1" applyProtection="1">
      <alignment horizontal="center" vertical="center"/>
      <protection locked="0"/>
    </xf>
    <xf numFmtId="170" fontId="0" fillId="40" borderId="173" xfId="0" applyNumberFormat="1" applyFill="1" applyBorder="1" applyAlignment="1">
      <alignment horizontal="center" vertical="center"/>
    </xf>
    <xf numFmtId="170" fontId="0" fillId="40" borderId="174" xfId="0" applyNumberFormat="1" applyFill="1" applyBorder="1" applyAlignment="1">
      <alignment horizontal="center" vertical="center"/>
    </xf>
    <xf numFmtId="170" fontId="16" fillId="0" borderId="173" xfId="0" applyNumberFormat="1" applyFont="1" applyBorder="1" applyAlignment="1">
      <alignment horizontal="center" vertical="center"/>
    </xf>
    <xf numFmtId="170" fontId="16" fillId="0" borderId="174" xfId="0" applyNumberFormat="1" applyFont="1" applyBorder="1" applyAlignment="1">
      <alignment horizontal="center" vertical="center"/>
    </xf>
    <xf numFmtId="170" fontId="16" fillId="0" borderId="175" xfId="0" applyNumberFormat="1" applyFont="1" applyBorder="1" applyAlignment="1">
      <alignment horizontal="center" vertical="center"/>
    </xf>
    <xf numFmtId="170" fontId="0" fillId="40" borderId="167" xfId="0" applyNumberFormat="1" applyFill="1" applyBorder="1" applyAlignment="1">
      <alignment horizontal="center" vertical="center"/>
    </xf>
    <xf numFmtId="170" fontId="0" fillId="40" borderId="110" xfId="0" applyNumberFormat="1" applyFill="1" applyBorder="1" applyAlignment="1">
      <alignment horizontal="center" vertical="center"/>
    </xf>
    <xf numFmtId="170" fontId="16" fillId="0" borderId="167" xfId="0" applyNumberFormat="1" applyFont="1" applyBorder="1" applyAlignment="1">
      <alignment horizontal="center" vertical="center"/>
    </xf>
    <xf numFmtId="170" fontId="16" fillId="0" borderId="110" xfId="0" applyNumberFormat="1" applyFont="1" applyBorder="1" applyAlignment="1">
      <alignment horizontal="center" vertical="center"/>
    </xf>
    <xf numFmtId="170" fontId="16" fillId="0" borderId="168" xfId="0" applyNumberFormat="1" applyFont="1" applyBorder="1" applyAlignment="1">
      <alignment horizontal="center" vertical="center"/>
    </xf>
    <xf numFmtId="181" fontId="0" fillId="40" borderId="167" xfId="0" applyNumberFormat="1" applyFill="1" applyBorder="1" applyAlignment="1">
      <alignment horizontal="center" vertical="center"/>
    </xf>
    <xf numFmtId="181" fontId="0" fillId="40" borderId="110" xfId="0" applyNumberFormat="1" applyFill="1" applyBorder="1" applyAlignment="1">
      <alignment horizontal="center" vertical="center"/>
    </xf>
    <xf numFmtId="181" fontId="16" fillId="0" borderId="167" xfId="0" applyNumberFormat="1" applyFont="1" applyBorder="1" applyAlignment="1">
      <alignment horizontal="center" vertical="center"/>
    </xf>
    <xf numFmtId="181" fontId="16" fillId="0" borderId="110" xfId="0" applyNumberFormat="1" applyFont="1" applyBorder="1" applyAlignment="1">
      <alignment horizontal="center" vertical="center"/>
    </xf>
    <xf numFmtId="181" fontId="16" fillId="0" borderId="168" xfId="0" applyNumberFormat="1" applyFont="1" applyBorder="1" applyAlignment="1">
      <alignment horizontal="center" vertical="center"/>
    </xf>
    <xf numFmtId="181" fontId="0" fillId="40" borderId="171" xfId="0" applyNumberFormat="1" applyFill="1" applyBorder="1" applyAlignment="1">
      <alignment horizontal="center" vertical="center"/>
    </xf>
    <xf numFmtId="181" fontId="0" fillId="40" borderId="162" xfId="0" applyNumberFormat="1" applyFill="1" applyBorder="1" applyAlignment="1">
      <alignment horizontal="center" vertical="center"/>
    </xf>
    <xf numFmtId="181" fontId="16" fillId="0" borderId="171" xfId="0" applyNumberFormat="1" applyFont="1" applyBorder="1" applyAlignment="1">
      <alignment horizontal="center" vertical="center"/>
    </xf>
    <xf numFmtId="181" fontId="16" fillId="0" borderId="162" xfId="0" applyNumberFormat="1" applyFont="1" applyBorder="1" applyAlignment="1">
      <alignment horizontal="center" vertical="center"/>
    </xf>
    <xf numFmtId="181" fontId="16" fillId="0" borderId="172" xfId="0" applyNumberFormat="1" applyFont="1" applyBorder="1" applyAlignment="1">
      <alignment horizontal="center" vertical="center"/>
    </xf>
    <xf numFmtId="0" fontId="101" fillId="62" borderId="133" xfId="0" applyFont="1" applyFill="1" applyBorder="1" applyAlignment="1">
      <alignment horizontal="center" vertical="center"/>
    </xf>
    <xf numFmtId="2" fontId="102" fillId="62" borderId="125" xfId="0" applyNumberFormat="1" applyFont="1" applyFill="1" applyBorder="1" applyAlignment="1">
      <alignment horizontal="center" vertical="center"/>
    </xf>
    <xf numFmtId="2" fontId="102" fillId="62" borderId="146" xfId="0" applyNumberFormat="1" applyFont="1" applyFill="1" applyBorder="1" applyAlignment="1">
      <alignment horizontal="center" vertical="center"/>
    </xf>
    <xf numFmtId="2" fontId="102" fillId="62" borderId="143" xfId="0" applyNumberFormat="1" applyFont="1" applyFill="1" applyBorder="1" applyAlignment="1">
      <alignment horizontal="center" vertical="center"/>
    </xf>
    <xf numFmtId="2" fontId="102" fillId="62" borderId="127" xfId="0" applyNumberFormat="1" applyFont="1" applyFill="1" applyBorder="1" applyAlignment="1">
      <alignment horizontal="center" vertical="center"/>
    </xf>
    <xf numFmtId="2" fontId="102" fillId="62" borderId="148" xfId="0" applyNumberFormat="1" applyFont="1" applyFill="1" applyBorder="1" applyAlignment="1">
      <alignment horizontal="center" vertical="center"/>
    </xf>
    <xf numFmtId="2" fontId="102" fillId="62" borderId="150" xfId="0" applyNumberFormat="1" applyFont="1" applyFill="1" applyBorder="1" applyAlignment="1">
      <alignment horizontal="center" vertical="center"/>
    </xf>
    <xf numFmtId="2" fontId="102" fillId="62" borderId="133" xfId="0" applyNumberFormat="1" applyFont="1" applyFill="1" applyBorder="1" applyAlignment="1">
      <alignment horizontal="center" vertical="center"/>
    </xf>
    <xf numFmtId="0" fontId="101" fillId="62" borderId="135" xfId="0" applyFont="1" applyFill="1" applyBorder="1" applyAlignment="1">
      <alignment horizontal="center" vertical="center"/>
    </xf>
    <xf numFmtId="3" fontId="102" fillId="62" borderId="152" xfId="0" applyNumberFormat="1" applyFont="1" applyFill="1" applyBorder="1" applyAlignment="1">
      <alignment vertical="center"/>
    </xf>
    <xf numFmtId="3" fontId="102" fillId="62" borderId="154" xfId="0" applyNumberFormat="1" applyFont="1" applyFill="1" applyBorder="1" applyAlignment="1">
      <alignment vertical="center"/>
    </xf>
    <xf numFmtId="3" fontId="102" fillId="62" borderId="156" xfId="0" applyNumberFormat="1" applyFont="1" applyFill="1" applyBorder="1" applyAlignment="1">
      <alignment vertical="center"/>
    </xf>
    <xf numFmtId="3" fontId="102" fillId="62" borderId="158" xfId="0" applyNumberFormat="1" applyFont="1" applyFill="1" applyBorder="1" applyAlignment="1">
      <alignment vertical="center"/>
    </xf>
    <xf numFmtId="3" fontId="102" fillId="62" borderId="160" xfId="0" applyNumberFormat="1" applyFont="1" applyFill="1" applyBorder="1" applyAlignment="1">
      <alignment vertical="center"/>
    </xf>
    <xf numFmtId="3" fontId="102" fillId="62" borderId="163" xfId="0" applyNumberFormat="1" applyFont="1" applyFill="1" applyBorder="1" applyAlignment="1">
      <alignment vertical="center"/>
    </xf>
    <xf numFmtId="0" fontId="101" fillId="62" borderId="150" xfId="0" applyFont="1" applyFill="1" applyBorder="1" applyAlignment="1">
      <alignment horizontal="center" vertical="center"/>
    </xf>
    <xf numFmtId="3" fontId="102" fillId="62" borderId="166" xfId="0" applyNumberFormat="1" applyFont="1" applyFill="1" applyBorder="1" applyAlignment="1">
      <alignment vertical="center"/>
    </xf>
    <xf numFmtId="3" fontId="102" fillId="62" borderId="168" xfId="0" applyNumberFormat="1" applyFont="1" applyFill="1" applyBorder="1" applyAlignment="1">
      <alignment vertical="center"/>
    </xf>
    <xf numFmtId="3" fontId="102" fillId="62" borderId="170" xfId="0" applyNumberFormat="1" applyFont="1" applyFill="1" applyBorder="1" applyAlignment="1">
      <alignment vertical="center"/>
    </xf>
    <xf numFmtId="3" fontId="102" fillId="62" borderId="172" xfId="0" applyNumberFormat="1" applyFont="1" applyFill="1" applyBorder="1" applyAlignment="1">
      <alignment vertical="center"/>
    </xf>
    <xf numFmtId="0" fontId="101" fillId="62" borderId="122" xfId="0" applyFont="1" applyFill="1" applyBorder="1" applyAlignment="1">
      <alignment horizontal="center" vertical="center"/>
    </xf>
    <xf numFmtId="3" fontId="102" fillId="62" borderId="125" xfId="0" applyNumberFormat="1" applyFont="1" applyFill="1" applyBorder="1" applyAlignment="1">
      <alignment horizontal="center" vertical="center"/>
    </xf>
    <xf numFmtId="3" fontId="102" fillId="62" borderId="146" xfId="0" applyNumberFormat="1" applyFont="1" applyFill="1" applyBorder="1" applyAlignment="1">
      <alignment horizontal="center" vertical="center"/>
    </xf>
    <xf numFmtId="9" fontId="102" fillId="62" borderId="143" xfId="2" applyFont="1" applyFill="1" applyBorder="1" applyAlignment="1">
      <alignment horizontal="center" vertical="center"/>
    </xf>
    <xf numFmtId="9" fontId="102" fillId="62" borderId="127" xfId="2" applyFont="1" applyFill="1" applyBorder="1" applyAlignment="1">
      <alignment horizontal="center" vertical="center"/>
    </xf>
    <xf numFmtId="9" fontId="102" fillId="62" borderId="130" xfId="2" applyFont="1" applyFill="1" applyBorder="1" applyAlignment="1">
      <alignment horizontal="center" vertical="center"/>
    </xf>
    <xf numFmtId="3" fontId="101" fillId="62" borderId="53" xfId="0" applyNumberFormat="1" applyFont="1" applyFill="1" applyBorder="1" applyAlignment="1">
      <alignment vertical="center"/>
    </xf>
    <xf numFmtId="3" fontId="102" fillId="62" borderId="177" xfId="0" applyNumberFormat="1" applyFont="1" applyFill="1" applyBorder="1" applyAlignment="1">
      <alignment vertical="center"/>
    </xf>
    <xf numFmtId="184" fontId="101" fillId="62" borderId="177" xfId="0" applyNumberFormat="1" applyFont="1" applyFill="1" applyBorder="1" applyAlignment="1">
      <alignment vertical="center"/>
    </xf>
    <xf numFmtId="184" fontId="101" fillId="62" borderId="170" xfId="0" applyNumberFormat="1" applyFont="1" applyFill="1" applyBorder="1" applyAlignment="1">
      <alignment vertical="center"/>
    </xf>
    <xf numFmtId="3" fontId="102" fillId="62" borderId="14" xfId="0" applyNumberFormat="1" applyFont="1" applyFill="1" applyBorder="1" applyAlignment="1">
      <alignment vertical="center"/>
    </xf>
    <xf numFmtId="170" fontId="102" fillId="62" borderId="122" xfId="0" applyNumberFormat="1" applyFont="1" applyFill="1" applyBorder="1" applyAlignment="1">
      <alignment horizontal="center" vertical="center"/>
    </xf>
    <xf numFmtId="9" fontId="102" fillId="62" borderId="104" xfId="2" applyFont="1" applyFill="1" applyBorder="1" applyAlignment="1">
      <alignment horizontal="center" vertical="center"/>
    </xf>
    <xf numFmtId="170" fontId="102" fillId="62" borderId="175" xfId="0" applyNumberFormat="1" applyFont="1" applyFill="1" applyBorder="1" applyAlignment="1">
      <alignment horizontal="center" vertical="center"/>
    </xf>
    <xf numFmtId="170" fontId="102" fillId="62" borderId="168" xfId="0" applyNumberFormat="1" applyFont="1" applyFill="1" applyBorder="1" applyAlignment="1">
      <alignment horizontal="center" vertical="center"/>
    </xf>
    <xf numFmtId="181" fontId="102" fillId="62" borderId="168" xfId="0" applyNumberFormat="1" applyFont="1" applyFill="1" applyBorder="1" applyAlignment="1">
      <alignment horizontal="center" vertical="center"/>
    </xf>
    <xf numFmtId="181" fontId="102" fillId="62" borderId="172" xfId="0" applyNumberFormat="1" applyFont="1" applyFill="1" applyBorder="1" applyAlignment="1">
      <alignment horizontal="center" vertical="center"/>
    </xf>
    <xf numFmtId="2" fontId="104" fillId="62" borderId="125" xfId="0" applyNumberFormat="1" applyFont="1" applyFill="1" applyBorder="1" applyAlignment="1">
      <alignment horizontal="center" vertical="center"/>
    </xf>
    <xf numFmtId="2" fontId="104" fillId="62" borderId="146" xfId="0" applyNumberFormat="1" applyFont="1" applyFill="1" applyBorder="1" applyAlignment="1">
      <alignment horizontal="center" vertical="center"/>
    </xf>
    <xf numFmtId="2" fontId="104" fillId="62" borderId="143" xfId="0" applyNumberFormat="1" applyFont="1" applyFill="1" applyBorder="1" applyAlignment="1">
      <alignment horizontal="center" vertical="center"/>
    </xf>
    <xf numFmtId="2" fontId="104" fillId="62" borderId="127" xfId="0" applyNumberFormat="1" applyFont="1" applyFill="1" applyBorder="1" applyAlignment="1">
      <alignment horizontal="center" vertical="center"/>
    </xf>
    <xf numFmtId="2" fontId="104" fillId="62" borderId="148" xfId="0" applyNumberFormat="1" applyFont="1" applyFill="1" applyBorder="1" applyAlignment="1">
      <alignment horizontal="center" vertical="center"/>
    </xf>
    <xf numFmtId="2" fontId="104" fillId="62" borderId="150" xfId="0" applyNumberFormat="1" applyFont="1" applyFill="1" applyBorder="1" applyAlignment="1">
      <alignment horizontal="center" vertical="center"/>
    </xf>
    <xf numFmtId="2" fontId="104" fillId="62" borderId="130" xfId="0" applyNumberFormat="1" applyFont="1" applyFill="1" applyBorder="1" applyAlignment="1">
      <alignment horizontal="center" vertical="center"/>
    </xf>
    <xf numFmtId="0" fontId="0" fillId="0" borderId="0" xfId="0" applyAlignment="1">
      <alignment vertical="center" wrapText="1"/>
    </xf>
    <xf numFmtId="0" fontId="90" fillId="57" borderId="0" xfId="0" applyFont="1" applyFill="1" applyAlignment="1">
      <alignment vertical="center"/>
    </xf>
    <xf numFmtId="0" fontId="6" fillId="57" borderId="0" xfId="0" applyFont="1" applyFill="1" applyAlignment="1">
      <alignment vertical="center"/>
    </xf>
    <xf numFmtId="0" fontId="105" fillId="0" borderId="0" xfId="0" applyFont="1" applyAlignment="1">
      <alignment vertical="top"/>
    </xf>
    <xf numFmtId="0" fontId="5" fillId="0" borderId="0" xfId="0" applyFont="1" applyAlignment="1">
      <alignment vertical="top"/>
    </xf>
    <xf numFmtId="0" fontId="0" fillId="61" borderId="0" xfId="0" applyFill="1" applyAlignment="1">
      <alignment vertical="center" wrapText="1"/>
    </xf>
    <xf numFmtId="0" fontId="0" fillId="0" borderId="187" xfId="0" applyBorder="1" applyAlignment="1">
      <alignment vertical="center"/>
    </xf>
    <xf numFmtId="0" fontId="0" fillId="0" borderId="187" xfId="0" applyBorder="1" applyAlignment="1">
      <alignment horizontal="center" vertical="center"/>
    </xf>
    <xf numFmtId="9" fontId="97" fillId="60" borderId="83" xfId="2" applyFont="1" applyFill="1" applyBorder="1" applyAlignment="1" applyProtection="1">
      <alignment horizontal="center" vertical="center"/>
      <protection locked="0"/>
    </xf>
    <xf numFmtId="0" fontId="107" fillId="54" borderId="88" xfId="0" applyFont="1" applyFill="1" applyBorder="1" applyAlignment="1">
      <alignment horizontal="center" vertical="center"/>
    </xf>
    <xf numFmtId="0" fontId="107" fillId="54" borderId="104" xfId="0" applyFont="1" applyFill="1" applyBorder="1" applyAlignment="1">
      <alignment horizontal="center" vertical="center"/>
    </xf>
    <xf numFmtId="0" fontId="5" fillId="61" borderId="0" xfId="0" applyFont="1" applyFill="1" applyAlignment="1">
      <alignment horizontal="left" vertical="center" wrapText="1"/>
    </xf>
    <xf numFmtId="0" fontId="90" fillId="57" borderId="3" xfId="0" applyFont="1" applyFill="1" applyBorder="1" applyAlignment="1">
      <alignment horizontal="center" vertical="center"/>
    </xf>
    <xf numFmtId="0" fontId="90" fillId="57" borderId="4" xfId="0" applyFont="1" applyFill="1" applyBorder="1" applyAlignment="1">
      <alignment horizontal="center" vertical="center"/>
    </xf>
    <xf numFmtId="0" fontId="90" fillId="57" borderId="5" xfId="0" applyFont="1" applyFill="1" applyBorder="1" applyAlignment="1">
      <alignment horizontal="center" vertical="center"/>
    </xf>
    <xf numFmtId="0" fontId="90" fillId="57" borderId="6" xfId="0" applyFont="1" applyFill="1" applyBorder="1" applyAlignment="1">
      <alignment horizontal="center" vertical="center"/>
    </xf>
    <xf numFmtId="0" fontId="90" fillId="54" borderId="3" xfId="0" applyFont="1" applyFill="1" applyBorder="1" applyAlignment="1">
      <alignment horizontal="center" vertical="center" wrapText="1"/>
    </xf>
    <xf numFmtId="0" fontId="90" fillId="54" borderId="8" xfId="0" applyFont="1" applyFill="1" applyBorder="1" applyAlignment="1">
      <alignment horizontal="center" vertical="center" wrapText="1"/>
    </xf>
    <xf numFmtId="0" fontId="90" fillId="54" borderId="5" xfId="0" applyFont="1" applyFill="1" applyBorder="1" applyAlignment="1">
      <alignment horizontal="center" vertical="center" wrapText="1"/>
    </xf>
    <xf numFmtId="0" fontId="90" fillId="54" borderId="14" xfId="0" applyFont="1" applyFill="1" applyBorder="1" applyAlignment="1">
      <alignment horizontal="center" vertical="center" wrapText="1"/>
    </xf>
    <xf numFmtId="0" fontId="81" fillId="46" borderId="105" xfId="0" applyFont="1" applyFill="1" applyBorder="1" applyAlignment="1">
      <alignment horizontal="center" vertical="center"/>
    </xf>
    <xf numFmtId="0" fontId="90" fillId="57" borderId="8" xfId="0" applyFont="1" applyFill="1" applyBorder="1" applyAlignment="1">
      <alignment horizontal="center" vertical="center"/>
    </xf>
    <xf numFmtId="0" fontId="90" fillId="57" borderId="14" xfId="0" applyFont="1" applyFill="1" applyBorder="1" applyAlignment="1">
      <alignment horizontal="center" vertical="center"/>
    </xf>
    <xf numFmtId="0" fontId="90" fillId="54" borderId="3" xfId="0" applyFont="1" applyFill="1" applyBorder="1" applyAlignment="1">
      <alignment horizontal="center" vertical="center"/>
    </xf>
    <xf numFmtId="0" fontId="90" fillId="54" borderId="4" xfId="0" applyFont="1" applyFill="1" applyBorder="1" applyAlignment="1">
      <alignment horizontal="center" vertical="center"/>
    </xf>
    <xf numFmtId="0" fontId="90" fillId="54" borderId="8" xfId="0" applyFont="1" applyFill="1" applyBorder="1" applyAlignment="1">
      <alignment horizontal="center" vertical="center"/>
    </xf>
    <xf numFmtId="0" fontId="90" fillId="54" borderId="5" xfId="0" applyFont="1" applyFill="1" applyBorder="1" applyAlignment="1">
      <alignment horizontal="center" vertical="center"/>
    </xf>
    <xf numFmtId="0" fontId="90" fillId="54" borderId="6" xfId="0" applyFont="1" applyFill="1" applyBorder="1" applyAlignment="1">
      <alignment horizontal="center" vertical="center"/>
    </xf>
    <xf numFmtId="0" fontId="90" fillId="54" borderId="14" xfId="0" applyFont="1" applyFill="1" applyBorder="1" applyAlignment="1">
      <alignment horizontal="center" vertical="center"/>
    </xf>
    <xf numFmtId="0" fontId="3" fillId="9" borderId="16" xfId="0" applyFont="1" applyFill="1" applyBorder="1" applyAlignment="1">
      <alignment horizontal="center"/>
    </xf>
    <xf numFmtId="0" fontId="3" fillId="9" borderId="17" xfId="0" applyFont="1" applyFill="1" applyBorder="1" applyAlignment="1">
      <alignment horizontal="center"/>
    </xf>
    <xf numFmtId="3" fontId="97" fillId="60" borderId="200" xfId="0" applyNumberFormat="1" applyFont="1" applyFill="1" applyBorder="1" applyAlignment="1" applyProtection="1">
      <alignment horizontal="center" vertical="center"/>
      <protection locked="0"/>
    </xf>
    <xf numFmtId="170" fontId="99" fillId="40" borderId="200" xfId="2" applyNumberFormat="1" applyFont="1" applyFill="1" applyBorder="1" applyAlignment="1">
      <alignment horizontal="right" vertical="center"/>
    </xf>
    <xf numFmtId="170" fontId="99" fillId="40" borderId="201" xfId="2" applyNumberFormat="1" applyFont="1" applyFill="1" applyBorder="1" applyAlignment="1">
      <alignment horizontal="right" vertical="center"/>
    </xf>
    <xf numFmtId="170" fontId="99" fillId="40" borderId="158" xfId="2" applyNumberFormat="1" applyFont="1" applyFill="1" applyBorder="1" applyAlignment="1">
      <alignment horizontal="right" vertical="center"/>
    </xf>
    <xf numFmtId="170" fontId="99" fillId="40" borderId="160" xfId="2" applyNumberFormat="1" applyFont="1" applyFill="1" applyBorder="1" applyAlignment="1">
      <alignment horizontal="right" vertical="center"/>
    </xf>
    <xf numFmtId="170" fontId="99" fillId="40" borderId="39" xfId="2" applyNumberFormat="1" applyFont="1" applyFill="1" applyBorder="1" applyAlignment="1">
      <alignment horizontal="right" vertical="center"/>
    </xf>
    <xf numFmtId="170" fontId="99" fillId="40" borderId="163" xfId="2" applyNumberFormat="1" applyFont="1" applyFill="1" applyBorder="1" applyAlignment="1">
      <alignment horizontal="right" vertical="center"/>
    </xf>
  </cellXfs>
  <cellStyles count="166">
    <cellStyle name="20% - Accent1" xfId="13" xr:uid="{00000000-0005-0000-0000-000000000000}"/>
    <cellStyle name="20% - Accent2" xfId="14" xr:uid="{00000000-0005-0000-0000-000001000000}"/>
    <cellStyle name="20% - Accent3" xfId="15" xr:uid="{00000000-0005-0000-0000-000002000000}"/>
    <cellStyle name="20% - Accent4" xfId="16" xr:uid="{00000000-0005-0000-0000-000003000000}"/>
    <cellStyle name="20% - Accent5" xfId="17" xr:uid="{00000000-0005-0000-0000-000004000000}"/>
    <cellStyle name="20% - Accent6" xfId="18" xr:uid="{00000000-0005-0000-0000-000005000000}"/>
    <cellStyle name="40% - Accent1" xfId="19" xr:uid="{00000000-0005-0000-0000-000006000000}"/>
    <cellStyle name="40% - Accent2" xfId="20" xr:uid="{00000000-0005-0000-0000-000007000000}"/>
    <cellStyle name="40% - Accent3" xfId="21" xr:uid="{00000000-0005-0000-0000-000008000000}"/>
    <cellStyle name="40% - Accent4" xfId="22" xr:uid="{00000000-0005-0000-0000-000009000000}"/>
    <cellStyle name="40% - Accent5" xfId="23" xr:uid="{00000000-0005-0000-0000-00000A000000}"/>
    <cellStyle name="40% - Accent6" xfId="24" xr:uid="{00000000-0005-0000-0000-00000B000000}"/>
    <cellStyle name="60% - Accent1" xfId="25" xr:uid="{00000000-0005-0000-0000-00000C000000}"/>
    <cellStyle name="60% - Accent2" xfId="26" xr:uid="{00000000-0005-0000-0000-00000D000000}"/>
    <cellStyle name="60% - Accent3" xfId="27" xr:uid="{00000000-0005-0000-0000-00000E000000}"/>
    <cellStyle name="60% - Accent4" xfId="28" xr:uid="{00000000-0005-0000-0000-00000F000000}"/>
    <cellStyle name="60% - Accent5" xfId="29" xr:uid="{00000000-0005-0000-0000-000010000000}"/>
    <cellStyle name="60% - Accent6" xfId="30" xr:uid="{00000000-0005-0000-0000-000011000000}"/>
    <cellStyle name="60% - Colore 2 2" xfId="7" xr:uid="{00000000-0005-0000-0000-000012000000}"/>
    <cellStyle name="Accent1" xfId="31" xr:uid="{00000000-0005-0000-0000-000013000000}"/>
    <cellStyle name="Accent2" xfId="32" xr:uid="{00000000-0005-0000-0000-000014000000}"/>
    <cellStyle name="Accent3" xfId="33" xr:uid="{00000000-0005-0000-0000-000015000000}"/>
    <cellStyle name="Accent4" xfId="34" xr:uid="{00000000-0005-0000-0000-000016000000}"/>
    <cellStyle name="Accent5" xfId="35" xr:uid="{00000000-0005-0000-0000-000017000000}"/>
    <cellStyle name="Accent6" xfId="36" xr:uid="{00000000-0005-0000-0000-000018000000}"/>
    <cellStyle name="Bad" xfId="37" xr:uid="{00000000-0005-0000-0000-000019000000}"/>
    <cellStyle name="Berechnung" xfId="3" builtinId="22"/>
    <cellStyle name="Calculation" xfId="38" xr:uid="{00000000-0005-0000-0000-00001B000000}"/>
    <cellStyle name="Calculation 2" xfId="103" xr:uid="{00000000-0005-0000-0000-00001C000000}"/>
    <cellStyle name="Calculation 2 2" xfId="117" xr:uid="{96F47192-A110-4E2B-8EDA-02D31F2A67A7}"/>
    <cellStyle name="Calculation 2 2 2" xfId="157" xr:uid="{9E78802A-C187-4C14-9A5F-0F5BBC311625}"/>
    <cellStyle name="Calculation 2 2 3" xfId="125" xr:uid="{0BDD915F-DBEA-4521-A69B-8DFD853ABD54}"/>
    <cellStyle name="Calculation 2 3" xfId="131" xr:uid="{595CE7EB-C56B-4D02-98A4-8557359F90DF}"/>
    <cellStyle name="Calculation 2 4" xfId="135" xr:uid="{101895D0-3402-43F4-8BC5-900495F3A7A5}"/>
    <cellStyle name="Check Cell" xfId="39" xr:uid="{00000000-0005-0000-0000-00001D000000}"/>
    <cellStyle name="contentStyle" xfId="40" xr:uid="{00000000-0005-0000-0000-00001E000000}"/>
    <cellStyle name="dateStyle" xfId="41" xr:uid="{00000000-0005-0000-0000-00001F000000}"/>
    <cellStyle name="defaultNumberStyle" xfId="42" xr:uid="{00000000-0005-0000-0000-000020000000}"/>
    <cellStyle name="E Head0" xfId="43" xr:uid="{00000000-0005-0000-0000-000021000000}"/>
    <cellStyle name="E Head1" xfId="44" xr:uid="{00000000-0005-0000-0000-000022000000}"/>
    <cellStyle name="E Head2" xfId="45" xr:uid="{00000000-0005-0000-0000-000023000000}"/>
    <cellStyle name="E Normal" xfId="46" xr:uid="{00000000-0005-0000-0000-000024000000}"/>
    <cellStyle name="Euro" xfId="47" xr:uid="{00000000-0005-0000-0000-000026000000}"/>
    <cellStyle name="Euro 2" xfId="48" xr:uid="{00000000-0005-0000-0000-000027000000}"/>
    <cellStyle name="Euro 3" xfId="110" xr:uid="{990DE279-A554-48C7-846D-551ADF7810C7}"/>
    <cellStyle name="Euro 3 2" xfId="146" xr:uid="{09496110-4794-49CE-9141-9D479CB0384A}"/>
    <cellStyle name="Euro 4" xfId="136" xr:uid="{CFA2252D-454B-433D-91C4-DA8B609B3BB2}"/>
    <cellStyle name="Explanatory Text" xfId="49" xr:uid="{00000000-0005-0000-0000-000028000000}"/>
    <cellStyle name="Good" xfId="50" xr:uid="{00000000-0005-0000-0000-000029000000}"/>
    <cellStyle name="headerStyle" xfId="51" xr:uid="{00000000-0005-0000-0000-00002A000000}"/>
    <cellStyle name="Heading 1" xfId="52" xr:uid="{00000000-0005-0000-0000-00002B000000}"/>
    <cellStyle name="Heading 2" xfId="53" xr:uid="{00000000-0005-0000-0000-00002C000000}"/>
    <cellStyle name="Heading 3" xfId="54" xr:uid="{00000000-0005-0000-0000-00002D000000}"/>
    <cellStyle name="Heading 3 2" xfId="55" xr:uid="{00000000-0005-0000-0000-00002E000000}"/>
    <cellStyle name="Heading 4" xfId="56" xr:uid="{00000000-0005-0000-0000-00002F000000}"/>
    <cellStyle name="headlineDateStyle" xfId="57" xr:uid="{00000000-0005-0000-0000-000030000000}"/>
    <cellStyle name="headlineDefaultNumberStyle" xfId="58" xr:uid="{00000000-0005-0000-0000-000031000000}"/>
    <cellStyle name="headlineNumberStyle" xfId="59" xr:uid="{00000000-0005-0000-0000-000032000000}"/>
    <cellStyle name="headlineStyle" xfId="60" xr:uid="{00000000-0005-0000-0000-000033000000}"/>
    <cellStyle name="Hyperlink 2" xfId="61" xr:uid="{00000000-0005-0000-0000-000034000000}"/>
    <cellStyle name="Input" xfId="111" xr:uid="{5986F48E-2862-4B25-BCED-949592EE2AB3}"/>
    <cellStyle name="Input 2" xfId="104" xr:uid="{00000000-0005-0000-0000-000036000000}"/>
    <cellStyle name="Input 2 2" xfId="118" xr:uid="{C554E567-8A6D-41EA-B5DE-468B97CEE3CC}"/>
    <cellStyle name="Input 2 2 2" xfId="158" xr:uid="{51174F47-7669-4202-91B9-14100D78E6DF}"/>
    <cellStyle name="Input 2 2 3" xfId="132" xr:uid="{CBD83291-E582-4A96-94A2-AF397E1C9C2B}"/>
    <cellStyle name="Input 2 3" xfId="155" xr:uid="{3CA52292-B4CD-4BB8-8E7D-3211D5F9E3F2}"/>
    <cellStyle name="Input 2 4" xfId="142" xr:uid="{C40E98D6-2AD4-4412-B75A-07CB1D5D0997}"/>
    <cellStyle name="Input 3" xfId="153" xr:uid="{58E99B60-FC8B-4078-9211-4170A1780155}"/>
    <cellStyle name="Input 4" xfId="133" xr:uid="{3F1A9FD1-9EB8-4D29-8738-3F80BF92969E}"/>
    <cellStyle name="Komma" xfId="1" builtinId="3"/>
    <cellStyle name="Komma 2" xfId="62" xr:uid="{00000000-0005-0000-0000-000038000000}"/>
    <cellStyle name="Komma 2 2" xfId="63" xr:uid="{00000000-0005-0000-0000-000039000000}"/>
    <cellStyle name="Komma 2 2 2" xfId="113" xr:uid="{5504B7E4-D619-46A9-891D-4D916152F4AD}"/>
    <cellStyle name="Komma 2 2 2 2" xfId="148" xr:uid="{4D14E379-9749-423B-86A9-F1A87F29F7E5}"/>
    <cellStyle name="Komma 2 2 3" xfId="138" xr:uid="{E54E9A5E-6C16-43EF-A202-4E7D67F21BAF}"/>
    <cellStyle name="Komma 2 3" xfId="112" xr:uid="{DEC8E0C2-EC52-4BA6-8E71-FF2357BD9080}"/>
    <cellStyle name="Komma 2 3 2" xfId="147" xr:uid="{061B64C2-A827-4DB7-8045-0DA0F6FAC9C2}"/>
    <cellStyle name="Komma 2 4" xfId="124" xr:uid="{90EEFD5B-A2B4-42BC-8CBF-9BE76A35AC1D}"/>
    <cellStyle name="Komma 2 4 2" xfId="156" xr:uid="{4272858B-C535-4493-957B-DD8B107ECED7}"/>
    <cellStyle name="Komma 2 5" xfId="137" xr:uid="{26F85FAB-51A1-4C1E-8337-1CEDAA0CBB52}"/>
    <cellStyle name="Komma 3" xfId="64" xr:uid="{00000000-0005-0000-0000-00003A000000}"/>
    <cellStyle name="Komma 3 2" xfId="65" xr:uid="{00000000-0005-0000-0000-00003B000000}"/>
    <cellStyle name="Komma 3 2 2" xfId="115" xr:uid="{3780189F-BAF2-4E9E-8217-4F3867FE0279}"/>
    <cellStyle name="Komma 3 2 2 2" xfId="150" xr:uid="{2104DAB3-82BC-40BB-A787-F29035D37801}"/>
    <cellStyle name="Komma 3 2 3" xfId="140" xr:uid="{3C5B028A-F1D5-42F2-AC73-2CAB7DD53D43}"/>
    <cellStyle name="Komma 3 3" xfId="114" xr:uid="{64FA29D8-E14B-46DC-905E-CA3667D814DB}"/>
    <cellStyle name="Komma 3 3 2" xfId="149" xr:uid="{36D2BBE2-08DC-4366-93D3-DD51C7680B80}"/>
    <cellStyle name="Komma 3 4" xfId="139" xr:uid="{A85D0DBB-7C57-49B0-9ECB-3F6950DA0ACE}"/>
    <cellStyle name="Komma 4" xfId="9" xr:uid="{00000000-0005-0000-0000-00003C000000}"/>
    <cellStyle name="Komma 4 2" xfId="109" xr:uid="{E1D4EC6F-E890-4F81-8EF0-2B06224C359E}"/>
    <cellStyle name="Komma 4 2 2" xfId="145" xr:uid="{89FDC839-553D-45F9-840E-988C65FE4333}"/>
    <cellStyle name="Komma 4 3" xfId="127" xr:uid="{90D7BE5F-2407-4BFC-B3EE-870181046236}"/>
    <cellStyle name="Komma 5" xfId="165" xr:uid="{9D5F1DFA-FBAF-4774-A3E9-E22709D33138}"/>
    <cellStyle name="Linked Cell" xfId="66" xr:uid="{00000000-0005-0000-0000-00003D000000}"/>
    <cellStyle name="Migliaia 2" xfId="67" xr:uid="{00000000-0005-0000-0000-00003E000000}"/>
    <cellStyle name="Migliaia 2 2" xfId="116" xr:uid="{C21F1F1E-D993-443B-84E2-A0EA9D9CD617}"/>
    <cellStyle name="Migliaia 2 2 2" xfId="151" xr:uid="{0EF632B0-032D-4CBD-BB73-FC1ED0267CE8}"/>
    <cellStyle name="Migliaia 2 3" xfId="141" xr:uid="{25C79E90-726F-4829-9A26-D68B84392521}"/>
    <cellStyle name="Migliaia 3" xfId="8" xr:uid="{00000000-0005-0000-0000-00003F000000}"/>
    <cellStyle name="Migliaia 3 2" xfId="108" xr:uid="{975244A6-2729-455F-A24F-EFF82D9E936B}"/>
    <cellStyle name="Migliaia 3 2 2" xfId="144" xr:uid="{DA1A0BAA-A6C0-4FF4-BAC7-09C1D876131C}"/>
    <cellStyle name="Migliaia 3 3" xfId="126" xr:uid="{81297DD0-469D-471E-8B4B-D2989CEEAE63}"/>
    <cellStyle name="Migliaia 4 2" xfId="6" xr:uid="{00000000-0005-0000-0000-000040000000}"/>
    <cellStyle name="Migliaia 5" xfId="68" xr:uid="{00000000-0005-0000-0000-000041000000}"/>
    <cellStyle name="Normal 2" xfId="10" xr:uid="{00000000-0005-0000-0000-000042000000}"/>
    <cellStyle name="Normal 2 13" xfId="164" xr:uid="{88820BC0-4E1B-456A-B260-DA3DC70FD9F6}"/>
    <cellStyle name="Normal 2 3" xfId="163" xr:uid="{96967887-E4DB-419C-9B8C-BDC1913C84B9}"/>
    <cellStyle name="Normal_Sheet1" xfId="69" xr:uid="{00000000-0005-0000-0000-000043000000}"/>
    <cellStyle name="Normale 19 3" xfId="123" xr:uid="{051EB41F-4F9F-4076-86A0-4BE073371AE9}"/>
    <cellStyle name="Normale 2" xfId="11" xr:uid="{00000000-0005-0000-0000-000044000000}"/>
    <cellStyle name="Normale 6 4" xfId="4" xr:uid="{00000000-0005-0000-0000-000045000000}"/>
    <cellStyle name="Note" xfId="70" xr:uid="{00000000-0005-0000-0000-000046000000}"/>
    <cellStyle name="Note 2" xfId="105" xr:uid="{00000000-0005-0000-0000-000047000000}"/>
    <cellStyle name="Note 2 2" xfId="119" xr:uid="{0DCE1DA6-F369-4D6D-9EF9-D07080DCC7C7}"/>
    <cellStyle name="Note 2 2 2" xfId="159" xr:uid="{B8631091-5FD0-4E1B-8A3D-7920C374CDD9}"/>
    <cellStyle name="Note 2 2 3" xfId="154" xr:uid="{FC06FFE8-DC9C-4EED-80ED-C2C7B3F24584}"/>
    <cellStyle name="Note 2 3" xfId="130" xr:uid="{6D21FA63-1F51-41E0-A7BF-EB4DB6511BE9}"/>
    <cellStyle name="Note 2 4" xfId="152" xr:uid="{CBEE5D48-FC6F-42A1-A879-AEDD08C3FB2E}"/>
    <cellStyle name="numberStyle" xfId="71" xr:uid="{00000000-0005-0000-0000-000048000000}"/>
    <cellStyle name="Output" xfId="72" xr:uid="{00000000-0005-0000-0000-000049000000}"/>
    <cellStyle name="Output 2" xfId="106" xr:uid="{00000000-0005-0000-0000-00004A000000}"/>
    <cellStyle name="Output 2 2" xfId="120" xr:uid="{1A9FB696-1995-4794-89CE-A5E7260446FB}"/>
    <cellStyle name="Output 2 2 2" xfId="160" xr:uid="{535A008E-0A49-40CF-A041-082B4085B359}"/>
    <cellStyle name="Output 2 3" xfId="129" xr:uid="{91E082EB-3864-4517-8A3C-7A1BA0F7F953}"/>
    <cellStyle name="Output 2 4" xfId="143" xr:uid="{810A3768-48D0-4193-AA9F-00F1743D83E0}"/>
    <cellStyle name="Percentuale 2" xfId="12" xr:uid="{00000000-0005-0000-0000-00004B000000}"/>
    <cellStyle name="Percentuale 5 2" xfId="5" xr:uid="{00000000-0005-0000-0000-00004C000000}"/>
    <cellStyle name="Prozent" xfId="2" builtinId="5"/>
    <cellStyle name="Prozent 2" xfId="73" xr:uid="{00000000-0005-0000-0000-00004E000000}"/>
    <cellStyle name="Prozent 3" xfId="74" xr:uid="{00000000-0005-0000-0000-00004F000000}"/>
    <cellStyle name="Standard" xfId="0" builtinId="0"/>
    <cellStyle name="Standard 10" xfId="75" xr:uid="{00000000-0005-0000-0000-000051000000}"/>
    <cellStyle name="Standard 10 2 2 2" xfId="76" xr:uid="{00000000-0005-0000-0000-000052000000}"/>
    <cellStyle name="Standard 11" xfId="77" xr:uid="{00000000-0005-0000-0000-000053000000}"/>
    <cellStyle name="Standard 11 2" xfId="78" xr:uid="{00000000-0005-0000-0000-000054000000}"/>
    <cellStyle name="Standard 13" xfId="79" xr:uid="{00000000-0005-0000-0000-000055000000}"/>
    <cellStyle name="Standard 2" xfId="80" xr:uid="{00000000-0005-0000-0000-000056000000}"/>
    <cellStyle name="Standard 2 2" xfId="81" xr:uid="{00000000-0005-0000-0000-000057000000}"/>
    <cellStyle name="Standard 2 2 2" xfId="82" xr:uid="{00000000-0005-0000-0000-000058000000}"/>
    <cellStyle name="Standard 2 3" xfId="83" xr:uid="{00000000-0005-0000-0000-000059000000}"/>
    <cellStyle name="Standard 2 4" xfId="122" xr:uid="{50A934D2-7909-454A-B35C-DB814A9862CB}"/>
    <cellStyle name="Standard 3" xfId="84" xr:uid="{00000000-0005-0000-0000-00005A000000}"/>
    <cellStyle name="Standard 3 2" xfId="85" xr:uid="{00000000-0005-0000-0000-00005B000000}"/>
    <cellStyle name="Standard 3_LTC-PnL" xfId="86" xr:uid="{00000000-0005-0000-0000-00005C000000}"/>
    <cellStyle name="Standard 4" xfId="87" xr:uid="{00000000-0005-0000-0000-00005D000000}"/>
    <cellStyle name="Standard 4 2" xfId="88" xr:uid="{00000000-0005-0000-0000-00005E000000}"/>
    <cellStyle name="Standard 5" xfId="89" xr:uid="{00000000-0005-0000-0000-00005F000000}"/>
    <cellStyle name="Standard 6" xfId="90" xr:uid="{00000000-0005-0000-0000-000060000000}"/>
    <cellStyle name="Standard 7" xfId="91" xr:uid="{00000000-0005-0000-0000-000061000000}"/>
    <cellStyle name="Standard 8" xfId="92" xr:uid="{00000000-0005-0000-0000-000062000000}"/>
    <cellStyle name="Standard 9" xfId="93" xr:uid="{00000000-0005-0000-0000-000063000000}"/>
    <cellStyle name="tariffHeadlineStyle" xfId="94" xr:uid="{00000000-0005-0000-0000-000064000000}"/>
    <cellStyle name="tariffStyle" xfId="95" xr:uid="{00000000-0005-0000-0000-000065000000}"/>
    <cellStyle name="Title" xfId="96" xr:uid="{00000000-0005-0000-0000-000066000000}"/>
    <cellStyle name="Total" xfId="97" xr:uid="{00000000-0005-0000-0000-000067000000}"/>
    <cellStyle name="Total 2" xfId="107" xr:uid="{00000000-0005-0000-0000-000068000000}"/>
    <cellStyle name="Total 2 2" xfId="121" xr:uid="{77DDFCB5-F786-494A-8E69-C2882CE21095}"/>
    <cellStyle name="Total 2 2 2" xfId="161" xr:uid="{FBD22621-4817-4D47-B2D3-ABA01E86582A}"/>
    <cellStyle name="Total 2 2 3" xfId="162" xr:uid="{E063F8A9-96DA-4097-BC4C-CD05218F253B}"/>
    <cellStyle name="Total 2 3" xfId="128" xr:uid="{7B5E0FDA-31A4-4B2F-A672-F1C786F814AD}"/>
    <cellStyle name="Total 2 4" xfId="134" xr:uid="{3C7CAF1C-A097-4277-BA18-D75E1311D261}"/>
    <cellStyle name="Überschrift 1 2" xfId="98" xr:uid="{00000000-0005-0000-0000-000069000000}"/>
    <cellStyle name="Überschrift 2 2" xfId="99" xr:uid="{00000000-0005-0000-0000-00006A000000}"/>
    <cellStyle name="Überschrift 5" xfId="100" xr:uid="{00000000-0005-0000-0000-00006B000000}"/>
    <cellStyle name="Undefiniert" xfId="101" xr:uid="{00000000-0005-0000-0000-00006C000000}"/>
    <cellStyle name="Warning Text" xfId="102" xr:uid="{00000000-0005-0000-0000-00006D000000}"/>
  </cellStyles>
  <dxfs count="115">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u/>
      </font>
    </dxf>
    <dxf>
      <font>
        <u/>
      </font>
    </dxf>
    <dxf>
      <font>
        <color theme="0" tint="-0.14996795556505021"/>
      </font>
    </dxf>
    <dxf>
      <font>
        <color theme="0" tint="-0.14996795556505021"/>
      </font>
    </dxf>
    <dxf>
      <font>
        <color theme="0"/>
      </font>
      <fill>
        <patternFill>
          <bgColor rgb="FFFF0000"/>
        </patternFill>
      </fill>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1"/>
      </font>
      <fill>
        <patternFill patternType="none">
          <bgColor auto="1"/>
        </patternFill>
      </fill>
    </dxf>
    <dxf>
      <font>
        <color theme="0" tint="-0.14996795556505021"/>
      </font>
    </dxf>
    <dxf>
      <font>
        <color theme="0" tint="-0.14996795556505021"/>
      </font>
    </dxf>
    <dxf>
      <font>
        <color theme="0" tint="-0.14996795556505021"/>
      </font>
    </dxf>
    <dxf>
      <fill>
        <patternFill>
          <bgColor theme="5" tint="0.79998168889431442"/>
        </patternFill>
      </fill>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u/>
      </font>
    </dxf>
    <dxf>
      <font>
        <u/>
      </font>
    </dxf>
    <dxf>
      <font>
        <color theme="0" tint="-0.14996795556505021"/>
      </font>
    </dxf>
    <dxf>
      <font>
        <color theme="0" tint="-0.14996795556505021"/>
      </font>
    </dxf>
    <dxf>
      <font>
        <color theme="0"/>
      </font>
      <fill>
        <patternFill>
          <bgColor rgb="FFFF0000"/>
        </patternFill>
      </fill>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1"/>
      </font>
      <fill>
        <patternFill patternType="none">
          <bgColor auto="1"/>
        </patternFill>
      </fill>
    </dxf>
    <dxf>
      <font>
        <color theme="0" tint="-0.14996795556505021"/>
      </font>
    </dxf>
    <dxf>
      <font>
        <color theme="0" tint="-0.14996795556505021"/>
      </font>
    </dxf>
    <dxf>
      <font>
        <color theme="0" tint="-0.14996795556505021"/>
      </font>
    </dxf>
    <dxf>
      <fill>
        <patternFill>
          <bgColor theme="5" tint="0.79998168889431442"/>
        </patternFill>
      </fill>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u/>
      </font>
    </dxf>
    <dxf>
      <font>
        <u/>
      </font>
    </dxf>
    <dxf>
      <font>
        <color theme="0" tint="-0.14996795556505021"/>
      </font>
    </dxf>
    <dxf>
      <font>
        <color theme="0" tint="-0.14996795556505021"/>
      </font>
    </dxf>
    <dxf>
      <font>
        <color theme="0"/>
      </font>
      <fill>
        <patternFill>
          <bgColor rgb="FFFF0000"/>
        </patternFill>
      </fill>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1"/>
      </font>
      <fill>
        <patternFill patternType="none">
          <bgColor auto="1"/>
        </patternFill>
      </fill>
    </dxf>
    <dxf>
      <font>
        <color theme="0" tint="-0.14996795556505021"/>
      </font>
    </dxf>
    <dxf>
      <font>
        <color theme="0" tint="-0.14996795556505021"/>
      </font>
    </dxf>
    <dxf>
      <font>
        <color theme="0" tint="-0.14996795556505021"/>
      </font>
    </dxf>
    <dxf>
      <fill>
        <patternFill>
          <bgColor theme="5" tint="0.79998168889431442"/>
        </patternFill>
      </fill>
    </dxf>
    <dxf>
      <font>
        <color rgb="FF9C5700"/>
      </font>
      <fill>
        <patternFill>
          <bgColor rgb="FFFFEB9C"/>
        </patternFill>
      </fill>
    </dxf>
    <dxf>
      <font>
        <color rgb="FF9C0006"/>
      </font>
      <fill>
        <patternFill>
          <bgColor rgb="FFFFC7CE"/>
        </patternFill>
      </fill>
    </dxf>
    <dxf>
      <font>
        <b/>
        <i val="0"/>
        <color rgb="FFFF0000"/>
      </font>
    </dxf>
    <dxf>
      <font>
        <b/>
        <i val="0"/>
        <color rgb="FFFF0000"/>
      </font>
    </dxf>
    <dxf>
      <font>
        <color rgb="FF9C5700"/>
      </font>
      <fill>
        <patternFill>
          <bgColor rgb="FFFFEB9C"/>
        </patternFill>
      </fill>
    </dxf>
    <dxf>
      <font>
        <color rgb="FF9C0006"/>
      </font>
      <fill>
        <patternFill>
          <bgColor rgb="FFFFC7CE"/>
        </patternFill>
      </fill>
    </dxf>
    <dxf>
      <font>
        <b/>
        <i val="0"/>
        <color rgb="FFFF0000"/>
      </font>
    </dxf>
  </dxfs>
  <tableStyles count="0" defaultTableStyle="TableStyleMedium2" defaultPivotStyle="PivotStyleLight16"/>
  <colors>
    <mruColors>
      <color rgb="FFF7F7F7"/>
      <color rgb="FFF5F5F5"/>
      <color rgb="FF0066A9"/>
      <color rgb="FFC5F0FF"/>
      <color rgb="FF0088B8"/>
      <color rgb="FFA7E8FF"/>
      <color rgb="FFC3E49C"/>
      <color rgb="FFBACEE5"/>
      <color rgb="FFFE6D73"/>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40726</xdr:colOff>
      <xdr:row>0</xdr:row>
      <xdr:rowOff>104775</xdr:rowOff>
    </xdr:from>
    <xdr:to>
      <xdr:col>3</xdr:col>
      <xdr:colOff>530291</xdr:colOff>
      <xdr:row>0</xdr:row>
      <xdr:rowOff>775138</xdr:rowOff>
    </xdr:to>
    <xdr:pic>
      <xdr:nvPicPr>
        <xdr:cNvPr id="2" name="Grafik 1">
          <a:extLst>
            <a:ext uri="{FF2B5EF4-FFF2-40B4-BE49-F238E27FC236}">
              <a16:creationId xmlns:a16="http://schemas.microsoft.com/office/drawing/2014/main" id="{63C9C624-B149-4FE1-B367-5129EF45229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726" y="104775"/>
          <a:ext cx="2232640" cy="670363"/>
        </a:xfrm>
        <a:prstGeom prst="rect">
          <a:avLst/>
        </a:prstGeom>
      </xdr:spPr>
    </xdr:pic>
    <xdr:clientData/>
  </xdr:twoCellAnchor>
  <xdr:twoCellAnchor>
    <xdr:from>
      <xdr:col>13</xdr:col>
      <xdr:colOff>0</xdr:colOff>
      <xdr:row>26</xdr:row>
      <xdr:rowOff>156882</xdr:rowOff>
    </xdr:from>
    <xdr:to>
      <xdr:col>24</xdr:col>
      <xdr:colOff>0</xdr:colOff>
      <xdr:row>26</xdr:row>
      <xdr:rowOff>156882</xdr:rowOff>
    </xdr:to>
    <xdr:cxnSp macro="">
      <xdr:nvCxnSpPr>
        <xdr:cNvPr id="3" name="Gerader Verbinder 2">
          <a:extLst>
            <a:ext uri="{FF2B5EF4-FFF2-40B4-BE49-F238E27FC236}">
              <a16:creationId xmlns:a16="http://schemas.microsoft.com/office/drawing/2014/main" id="{4107E79B-D201-492B-81FD-3111C2FDB8BE}"/>
            </a:ext>
          </a:extLst>
        </xdr:cNvPr>
        <xdr:cNvCxnSpPr/>
      </xdr:nvCxnSpPr>
      <xdr:spPr>
        <a:xfrm>
          <a:off x="11855824" y="5916706"/>
          <a:ext cx="10746441" cy="0"/>
        </a:xfrm>
        <a:prstGeom prst="line">
          <a:avLst/>
        </a:prstGeom>
        <a:ln w="57150">
          <a:solidFill>
            <a:srgbClr val="0066A9"/>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0</xdr:colOff>
      <xdr:row>82</xdr:row>
      <xdr:rowOff>0</xdr:rowOff>
    </xdr:from>
    <xdr:to>
      <xdr:col>12</xdr:col>
      <xdr:colOff>0</xdr:colOff>
      <xdr:row>82</xdr:row>
      <xdr:rowOff>0</xdr:rowOff>
    </xdr:to>
    <xdr:cxnSp macro="">
      <xdr:nvCxnSpPr>
        <xdr:cNvPr id="4" name="Gerader Verbinder 3">
          <a:extLst>
            <a:ext uri="{FF2B5EF4-FFF2-40B4-BE49-F238E27FC236}">
              <a16:creationId xmlns:a16="http://schemas.microsoft.com/office/drawing/2014/main" id="{A98592D5-520B-4022-BD8C-B51C71F2300C}"/>
            </a:ext>
          </a:extLst>
        </xdr:cNvPr>
        <xdr:cNvCxnSpPr/>
      </xdr:nvCxnSpPr>
      <xdr:spPr>
        <a:xfrm>
          <a:off x="280147" y="16495059"/>
          <a:ext cx="11351559" cy="0"/>
        </a:xfrm>
        <a:prstGeom prst="line">
          <a:avLst/>
        </a:prstGeom>
        <a:ln w="57150">
          <a:solidFill>
            <a:srgbClr val="0066A9"/>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0</xdr:colOff>
      <xdr:row>44</xdr:row>
      <xdr:rowOff>185958</xdr:rowOff>
    </xdr:from>
    <xdr:to>
      <xdr:col>24</xdr:col>
      <xdr:colOff>0</xdr:colOff>
      <xdr:row>45</xdr:row>
      <xdr:rowOff>0</xdr:rowOff>
    </xdr:to>
    <xdr:cxnSp macro="">
      <xdr:nvCxnSpPr>
        <xdr:cNvPr id="5" name="Gerader Verbinder 4">
          <a:extLst>
            <a:ext uri="{FF2B5EF4-FFF2-40B4-BE49-F238E27FC236}">
              <a16:creationId xmlns:a16="http://schemas.microsoft.com/office/drawing/2014/main" id="{56E88A4D-9AA3-4AF7-8E02-B6585CE35065}"/>
            </a:ext>
          </a:extLst>
        </xdr:cNvPr>
        <xdr:cNvCxnSpPr/>
      </xdr:nvCxnSpPr>
      <xdr:spPr>
        <a:xfrm flipV="1">
          <a:off x="11631706" y="9621311"/>
          <a:ext cx="8998323" cy="4542"/>
        </a:xfrm>
        <a:prstGeom prst="line">
          <a:avLst/>
        </a:prstGeom>
        <a:ln w="57150">
          <a:solidFill>
            <a:srgbClr val="0066A9"/>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40726</xdr:colOff>
      <xdr:row>0</xdr:row>
      <xdr:rowOff>104775</xdr:rowOff>
    </xdr:from>
    <xdr:to>
      <xdr:col>3</xdr:col>
      <xdr:colOff>530291</xdr:colOff>
      <xdr:row>0</xdr:row>
      <xdr:rowOff>775138</xdr:rowOff>
    </xdr:to>
    <xdr:pic>
      <xdr:nvPicPr>
        <xdr:cNvPr id="4" name="Grafik 3">
          <a:extLst>
            <a:ext uri="{FF2B5EF4-FFF2-40B4-BE49-F238E27FC236}">
              <a16:creationId xmlns:a16="http://schemas.microsoft.com/office/drawing/2014/main" id="{46A21C11-F65C-16AA-8813-7B076EA3A93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726" y="104775"/>
          <a:ext cx="2230341" cy="670363"/>
        </a:xfrm>
        <a:prstGeom prst="rect">
          <a:avLst/>
        </a:prstGeom>
      </xdr:spPr>
    </xdr:pic>
    <xdr:clientData/>
  </xdr:twoCellAnchor>
  <xdr:twoCellAnchor>
    <xdr:from>
      <xdr:col>26</xdr:col>
      <xdr:colOff>0</xdr:colOff>
      <xdr:row>42</xdr:row>
      <xdr:rowOff>179294</xdr:rowOff>
    </xdr:from>
    <xdr:to>
      <xdr:col>39</xdr:col>
      <xdr:colOff>0</xdr:colOff>
      <xdr:row>42</xdr:row>
      <xdr:rowOff>179294</xdr:rowOff>
    </xdr:to>
    <xdr:cxnSp macro="">
      <xdr:nvCxnSpPr>
        <xdr:cNvPr id="3" name="Gerader Verbinder 2">
          <a:extLst>
            <a:ext uri="{FF2B5EF4-FFF2-40B4-BE49-F238E27FC236}">
              <a16:creationId xmlns:a16="http://schemas.microsoft.com/office/drawing/2014/main" id="{319168B2-8D73-1A04-991A-F6F9792F78AE}"/>
            </a:ext>
          </a:extLst>
        </xdr:cNvPr>
        <xdr:cNvCxnSpPr/>
      </xdr:nvCxnSpPr>
      <xdr:spPr>
        <a:xfrm>
          <a:off x="15800294" y="5782235"/>
          <a:ext cx="16842441" cy="0"/>
        </a:xfrm>
        <a:prstGeom prst="line">
          <a:avLst/>
        </a:prstGeom>
        <a:ln w="57150">
          <a:solidFill>
            <a:srgbClr val="0066A9"/>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243840</xdr:colOff>
      <xdr:row>11</xdr:row>
      <xdr:rowOff>60061</xdr:rowOff>
    </xdr:from>
    <xdr:to>
      <xdr:col>5</xdr:col>
      <xdr:colOff>893490</xdr:colOff>
      <xdr:row>12</xdr:row>
      <xdr:rowOff>114361</xdr:rowOff>
    </xdr:to>
    <xdr:sp macro="" textlink="">
      <xdr:nvSpPr>
        <xdr:cNvPr id="2" name="Rechteck 1">
          <a:extLst>
            <a:ext uri="{FF2B5EF4-FFF2-40B4-BE49-F238E27FC236}">
              <a16:creationId xmlns:a16="http://schemas.microsoft.com/office/drawing/2014/main" id="{174EF481-72C2-4533-BB18-74F9AB407B69}"/>
            </a:ext>
          </a:extLst>
        </xdr:cNvPr>
        <xdr:cNvSpPr/>
      </xdr:nvSpPr>
      <xdr:spPr>
        <a:xfrm>
          <a:off x="5092065" y="2212711"/>
          <a:ext cx="1887900" cy="244800"/>
        </a:xfrm>
        <a:prstGeom prst="rect">
          <a:avLst/>
        </a:prstGeom>
        <a:solidFill>
          <a:srgbClr val="0A4669"/>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r>
            <a:rPr lang="de-AT" sz="1000">
              <a:solidFill>
                <a:schemeClr val="bg1"/>
              </a:solidFill>
              <a:latin typeface="PP Pangram Sans Semibold" panose="00000705000000000000" pitchFamily="2" charset="0"/>
            </a:rPr>
            <a:t>Actual</a:t>
          </a:r>
          <a:r>
            <a:rPr lang="de-AT" sz="1000" baseline="0">
              <a:solidFill>
                <a:schemeClr val="bg1"/>
              </a:solidFill>
              <a:latin typeface="PP Pangram Sans Semibold" panose="00000705000000000000" pitchFamily="2" charset="0"/>
            </a:rPr>
            <a:t> capacity</a:t>
          </a:r>
          <a:r>
            <a:rPr lang="de-AT" sz="1000">
              <a:solidFill>
                <a:schemeClr val="bg1"/>
              </a:solidFill>
              <a:latin typeface="PP Pangram Sans Semibold" panose="00000705000000000000" pitchFamily="2" charset="0"/>
            </a:rPr>
            <a:t> revenues</a:t>
          </a:r>
        </a:p>
      </xdr:txBody>
    </xdr:sp>
    <xdr:clientData/>
  </xdr:twoCellAnchor>
  <xdr:twoCellAnchor>
    <xdr:from>
      <xdr:col>4</xdr:col>
      <xdr:colOff>243840</xdr:colOff>
      <xdr:row>7</xdr:row>
      <xdr:rowOff>111494</xdr:rowOff>
    </xdr:from>
    <xdr:to>
      <xdr:col>5</xdr:col>
      <xdr:colOff>893490</xdr:colOff>
      <xdr:row>8</xdr:row>
      <xdr:rowOff>165794</xdr:rowOff>
    </xdr:to>
    <xdr:sp macro="" textlink="">
      <xdr:nvSpPr>
        <xdr:cNvPr id="3" name="Rechteck 2">
          <a:extLst>
            <a:ext uri="{FF2B5EF4-FFF2-40B4-BE49-F238E27FC236}">
              <a16:creationId xmlns:a16="http://schemas.microsoft.com/office/drawing/2014/main" id="{21263CCE-98F0-4181-B14E-AD8ED3298989}"/>
            </a:ext>
          </a:extLst>
        </xdr:cNvPr>
        <xdr:cNvSpPr/>
      </xdr:nvSpPr>
      <xdr:spPr>
        <a:xfrm>
          <a:off x="5092065" y="1502144"/>
          <a:ext cx="1887900" cy="244800"/>
        </a:xfrm>
        <a:prstGeom prst="rect">
          <a:avLst/>
        </a:prstGeom>
        <a:solidFill>
          <a:srgbClr val="0A4669"/>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r>
            <a:rPr lang="de-AT" sz="1000">
              <a:solidFill>
                <a:schemeClr val="bg1"/>
              </a:solidFill>
              <a:latin typeface="PP Pangram Sans Semibold" panose="00000705000000000000" pitchFamily="2" charset="0"/>
            </a:rPr>
            <a:t>Capacity cost base</a:t>
          </a:r>
        </a:p>
      </xdr:txBody>
    </xdr:sp>
    <xdr:clientData/>
  </xdr:twoCellAnchor>
  <xdr:twoCellAnchor>
    <xdr:from>
      <xdr:col>6</xdr:col>
      <xdr:colOff>19066</xdr:colOff>
      <xdr:row>11</xdr:row>
      <xdr:rowOff>60061</xdr:rowOff>
    </xdr:from>
    <xdr:to>
      <xdr:col>6</xdr:col>
      <xdr:colOff>556252</xdr:colOff>
      <xdr:row>12</xdr:row>
      <xdr:rowOff>114361</xdr:rowOff>
    </xdr:to>
    <xdr:sp macro="" textlink="AF24">
      <xdr:nvSpPr>
        <xdr:cNvPr id="4" name="Rechteck 3">
          <a:extLst>
            <a:ext uri="{FF2B5EF4-FFF2-40B4-BE49-F238E27FC236}">
              <a16:creationId xmlns:a16="http://schemas.microsoft.com/office/drawing/2014/main" id="{14531D36-4BB8-4335-8E99-1AC84CB9134A}"/>
            </a:ext>
          </a:extLst>
        </xdr:cNvPr>
        <xdr:cNvSpPr/>
      </xdr:nvSpPr>
      <xdr:spPr>
        <a:xfrm>
          <a:off x="7315216" y="2212711"/>
          <a:ext cx="537186" cy="244800"/>
        </a:xfrm>
        <a:prstGeom prst="rect">
          <a:avLst/>
        </a:prstGeom>
        <a:solidFill>
          <a:schemeClr val="bg1">
            <a:lumMod val="85000"/>
          </a:schemeClr>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algn="ctr"/>
          <a:fld id="{AC61D659-3582-4268-BC9D-05ED53DF8CAE}" type="TxLink">
            <a:rPr lang="en-US" sz="1100" b="0" i="0" u="none" strike="noStrike">
              <a:solidFill>
                <a:schemeClr val="bg1">
                  <a:lumMod val="50000"/>
                </a:schemeClr>
              </a:solidFill>
              <a:latin typeface="Calibri"/>
              <a:ea typeface="Calibri"/>
              <a:cs typeface="Calibri"/>
            </a:rPr>
            <a:pPr algn="ctr"/>
            <a:t>198,6</a:t>
          </a:fld>
          <a:endParaRPr lang="de-AT" sz="1000" b="0">
            <a:solidFill>
              <a:schemeClr val="bg1">
                <a:lumMod val="50000"/>
              </a:schemeClr>
            </a:solidFill>
            <a:latin typeface="PP Pangram Sans Semibold" panose="00000705000000000000" pitchFamily="2" charset="0"/>
          </a:endParaRPr>
        </a:p>
      </xdr:txBody>
    </xdr:sp>
    <xdr:clientData/>
  </xdr:twoCellAnchor>
  <xdr:twoCellAnchor>
    <xdr:from>
      <xdr:col>6</xdr:col>
      <xdr:colOff>19066</xdr:colOff>
      <xdr:row>7</xdr:row>
      <xdr:rowOff>111494</xdr:rowOff>
    </xdr:from>
    <xdr:to>
      <xdr:col>6</xdr:col>
      <xdr:colOff>556252</xdr:colOff>
      <xdr:row>8</xdr:row>
      <xdr:rowOff>165794</xdr:rowOff>
    </xdr:to>
    <xdr:sp macro="" textlink="$AF$14">
      <xdr:nvSpPr>
        <xdr:cNvPr id="5" name="Rechteck 4">
          <a:extLst>
            <a:ext uri="{FF2B5EF4-FFF2-40B4-BE49-F238E27FC236}">
              <a16:creationId xmlns:a16="http://schemas.microsoft.com/office/drawing/2014/main" id="{175F16EC-5334-4E33-887A-38E8CD800E05}"/>
            </a:ext>
          </a:extLst>
        </xdr:cNvPr>
        <xdr:cNvSpPr/>
      </xdr:nvSpPr>
      <xdr:spPr>
        <a:xfrm>
          <a:off x="7315216" y="1502144"/>
          <a:ext cx="537186" cy="244800"/>
        </a:xfrm>
        <a:prstGeom prst="rect">
          <a:avLst/>
        </a:prstGeom>
        <a:solidFill>
          <a:schemeClr val="bg1">
            <a:lumMod val="85000"/>
          </a:schemeClr>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p>
          <a:pPr algn="ctr"/>
          <a:fld id="{AF6D3570-9081-4E49-AF61-0EB7F89E791E}" type="TxLink">
            <a:rPr lang="en-US" sz="1100" b="0" i="0" u="none" strike="noStrike">
              <a:solidFill>
                <a:schemeClr val="bg1">
                  <a:lumMod val="50000"/>
                </a:schemeClr>
              </a:solidFill>
              <a:latin typeface="Calibri"/>
              <a:ea typeface="Calibri"/>
              <a:cs typeface="Calibri"/>
            </a:rPr>
            <a:pPr algn="ctr"/>
            <a:t>99,1</a:t>
          </a:fld>
          <a:endParaRPr lang="en-US" b="0">
            <a:solidFill>
              <a:schemeClr val="bg1">
                <a:lumMod val="50000"/>
              </a:schemeClr>
            </a:solidFill>
          </a:endParaRPr>
        </a:p>
      </xdr:txBody>
    </xdr:sp>
    <xdr:clientData/>
  </xdr:twoCellAnchor>
  <xdr:twoCellAnchor>
    <xdr:from>
      <xdr:col>4</xdr:col>
      <xdr:colOff>245744</xdr:colOff>
      <xdr:row>13</xdr:row>
      <xdr:rowOff>174905</xdr:rowOff>
    </xdr:from>
    <xdr:to>
      <xdr:col>5</xdr:col>
      <xdr:colOff>895394</xdr:colOff>
      <xdr:row>15</xdr:row>
      <xdr:rowOff>38705</xdr:rowOff>
    </xdr:to>
    <xdr:sp macro="" textlink="">
      <xdr:nvSpPr>
        <xdr:cNvPr id="6" name="Rechteck 5">
          <a:extLst>
            <a:ext uri="{FF2B5EF4-FFF2-40B4-BE49-F238E27FC236}">
              <a16:creationId xmlns:a16="http://schemas.microsoft.com/office/drawing/2014/main" id="{9E706B3D-55C8-48F5-A8CC-8FF823FCC3DB}"/>
            </a:ext>
          </a:extLst>
        </xdr:cNvPr>
        <xdr:cNvSpPr/>
      </xdr:nvSpPr>
      <xdr:spPr>
        <a:xfrm>
          <a:off x="5093969" y="2708555"/>
          <a:ext cx="1887900" cy="244800"/>
        </a:xfrm>
        <a:prstGeom prst="rect">
          <a:avLst/>
        </a:prstGeom>
        <a:solidFill>
          <a:srgbClr val="0A4669"/>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r>
            <a:rPr lang="de-AT" sz="1000">
              <a:solidFill>
                <a:schemeClr val="bg1"/>
              </a:solidFill>
              <a:latin typeface="PP Pangram Sans Semibold" panose="00000705000000000000" pitchFamily="2" charset="0"/>
            </a:rPr>
            <a:t>Effective capacity</a:t>
          </a:r>
          <a:r>
            <a:rPr lang="de-AT" sz="1000" baseline="0">
              <a:solidFill>
                <a:schemeClr val="bg1"/>
              </a:solidFill>
              <a:latin typeface="PP Pangram Sans Semibold" panose="00000705000000000000" pitchFamily="2" charset="0"/>
            </a:rPr>
            <a:t> </a:t>
          </a:r>
          <a:r>
            <a:rPr lang="de-AT" sz="1000">
              <a:solidFill>
                <a:schemeClr val="bg1"/>
              </a:solidFill>
              <a:latin typeface="PP Pangram Sans Semibold" panose="00000705000000000000" pitchFamily="2" charset="0"/>
            </a:rPr>
            <a:t>revenues</a:t>
          </a:r>
        </a:p>
      </xdr:txBody>
    </xdr:sp>
    <xdr:clientData/>
  </xdr:twoCellAnchor>
  <xdr:twoCellAnchor>
    <xdr:from>
      <xdr:col>6</xdr:col>
      <xdr:colOff>19066</xdr:colOff>
      <xdr:row>13</xdr:row>
      <xdr:rowOff>174905</xdr:rowOff>
    </xdr:from>
    <xdr:to>
      <xdr:col>6</xdr:col>
      <xdr:colOff>556252</xdr:colOff>
      <xdr:row>15</xdr:row>
      <xdr:rowOff>38705</xdr:rowOff>
    </xdr:to>
    <xdr:sp macro="" textlink="AF25">
      <xdr:nvSpPr>
        <xdr:cNvPr id="7" name="Rechteck 6">
          <a:extLst>
            <a:ext uri="{FF2B5EF4-FFF2-40B4-BE49-F238E27FC236}">
              <a16:creationId xmlns:a16="http://schemas.microsoft.com/office/drawing/2014/main" id="{5192686A-E9B1-4018-94C1-534A1B60EA32}"/>
            </a:ext>
          </a:extLst>
        </xdr:cNvPr>
        <xdr:cNvSpPr/>
      </xdr:nvSpPr>
      <xdr:spPr>
        <a:xfrm>
          <a:off x="7315216" y="2708555"/>
          <a:ext cx="537186" cy="244800"/>
        </a:xfrm>
        <a:prstGeom prst="rect">
          <a:avLst/>
        </a:prstGeom>
        <a:solidFill>
          <a:srgbClr val="FE6D73"/>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algn="ctr"/>
          <a:fld id="{64CA9966-8109-4204-AE13-9E0B2129AAA0}" type="TxLink">
            <a:rPr lang="en-US" sz="1100" b="1" i="0" u="none" strike="noStrike">
              <a:solidFill>
                <a:schemeClr val="bg1"/>
              </a:solidFill>
              <a:latin typeface="Calibri"/>
              <a:ea typeface="Calibri"/>
              <a:cs typeface="Calibri"/>
            </a:rPr>
            <a:pPr algn="ctr"/>
            <a:t>103,0</a:t>
          </a:fld>
          <a:endParaRPr lang="de-AT" sz="1000" b="1">
            <a:solidFill>
              <a:schemeClr val="bg1"/>
            </a:solidFill>
            <a:latin typeface="PP Pangram Sans Semibold" panose="00000705000000000000" pitchFamily="2" charset="0"/>
          </a:endParaRPr>
        </a:p>
      </xdr:txBody>
    </xdr:sp>
    <xdr:clientData/>
  </xdr:twoCellAnchor>
  <xdr:twoCellAnchor>
    <xdr:from>
      <xdr:col>6</xdr:col>
      <xdr:colOff>22876</xdr:colOff>
      <xdr:row>6</xdr:row>
      <xdr:rowOff>17591</xdr:rowOff>
    </xdr:from>
    <xdr:to>
      <xdr:col>6</xdr:col>
      <xdr:colOff>558157</xdr:colOff>
      <xdr:row>7</xdr:row>
      <xdr:rowOff>71891</xdr:rowOff>
    </xdr:to>
    <xdr:sp macro="" textlink="">
      <xdr:nvSpPr>
        <xdr:cNvPr id="8" name="Rechteck 7">
          <a:extLst>
            <a:ext uri="{FF2B5EF4-FFF2-40B4-BE49-F238E27FC236}">
              <a16:creationId xmlns:a16="http://schemas.microsoft.com/office/drawing/2014/main" id="{66930BA5-3791-4C2F-B79E-6F32CD82BCAC}"/>
            </a:ext>
          </a:extLst>
        </xdr:cNvPr>
        <xdr:cNvSpPr/>
      </xdr:nvSpPr>
      <xdr:spPr>
        <a:xfrm>
          <a:off x="7319026" y="1217741"/>
          <a:ext cx="535281" cy="244800"/>
        </a:xfrm>
        <a:prstGeom prst="rect">
          <a:avLst/>
        </a:prstGeom>
        <a:solidFill>
          <a:srgbClr val="0A4669"/>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algn="ctr"/>
          <a:r>
            <a:rPr lang="de-AT" sz="1000">
              <a:solidFill>
                <a:schemeClr val="bg1"/>
              </a:solidFill>
              <a:latin typeface="PP Pangram Sans Semibold" panose="00000705000000000000" pitchFamily="2" charset="0"/>
            </a:rPr>
            <a:t>GCA</a:t>
          </a:r>
        </a:p>
      </xdr:txBody>
    </xdr:sp>
    <xdr:clientData/>
  </xdr:twoCellAnchor>
  <xdr:twoCellAnchor>
    <xdr:from>
      <xdr:col>6</xdr:col>
      <xdr:colOff>807801</xdr:colOff>
      <xdr:row>13</xdr:row>
      <xdr:rowOff>174905</xdr:rowOff>
    </xdr:from>
    <xdr:to>
      <xdr:col>7</xdr:col>
      <xdr:colOff>488113</xdr:colOff>
      <xdr:row>15</xdr:row>
      <xdr:rowOff>38705</xdr:rowOff>
    </xdr:to>
    <xdr:sp macro="" textlink="AF18">
      <xdr:nvSpPr>
        <xdr:cNvPr id="9" name="Rechteck 8">
          <a:extLst>
            <a:ext uri="{FF2B5EF4-FFF2-40B4-BE49-F238E27FC236}">
              <a16:creationId xmlns:a16="http://schemas.microsoft.com/office/drawing/2014/main" id="{A7B206BC-83E1-4DAB-9EF6-ED038E06DC62}"/>
            </a:ext>
          </a:extLst>
        </xdr:cNvPr>
        <xdr:cNvSpPr/>
      </xdr:nvSpPr>
      <xdr:spPr>
        <a:xfrm>
          <a:off x="8103951" y="2708555"/>
          <a:ext cx="518512" cy="244800"/>
        </a:xfrm>
        <a:prstGeom prst="rect">
          <a:avLst/>
        </a:prstGeom>
        <a:solidFill>
          <a:schemeClr val="accent1"/>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algn="ctr"/>
          <a:fld id="{E02D8A81-E7D6-4296-8D42-FC6AB6A4FD7B}" type="TxLink">
            <a:rPr lang="en-US" sz="1100" b="1" i="0" u="none" strike="noStrike">
              <a:solidFill>
                <a:schemeClr val="bg1"/>
              </a:solidFill>
              <a:latin typeface="Calibri"/>
              <a:ea typeface="Calibri"/>
              <a:cs typeface="Calibri"/>
            </a:rPr>
            <a:pPr algn="ctr"/>
            <a:t>95,6</a:t>
          </a:fld>
          <a:endParaRPr lang="de-AT" sz="1000" b="1">
            <a:solidFill>
              <a:schemeClr val="bg1"/>
            </a:solidFill>
            <a:latin typeface="PP Pangram Sans Semibold" panose="00000705000000000000" pitchFamily="2" charset="0"/>
          </a:endParaRPr>
        </a:p>
      </xdr:txBody>
    </xdr:sp>
    <xdr:clientData/>
  </xdr:twoCellAnchor>
  <xdr:twoCellAnchor>
    <xdr:from>
      <xdr:col>6</xdr:col>
      <xdr:colOff>805896</xdr:colOff>
      <xdr:row>6</xdr:row>
      <xdr:rowOff>17591</xdr:rowOff>
    </xdr:from>
    <xdr:to>
      <xdr:col>7</xdr:col>
      <xdr:colOff>491923</xdr:colOff>
      <xdr:row>7</xdr:row>
      <xdr:rowOff>71891</xdr:rowOff>
    </xdr:to>
    <xdr:sp macro="" textlink="">
      <xdr:nvSpPr>
        <xdr:cNvPr id="10" name="Rechteck 9">
          <a:extLst>
            <a:ext uri="{FF2B5EF4-FFF2-40B4-BE49-F238E27FC236}">
              <a16:creationId xmlns:a16="http://schemas.microsoft.com/office/drawing/2014/main" id="{159CACE5-0063-486D-B01A-FEA73B5A0DBB}"/>
            </a:ext>
          </a:extLst>
        </xdr:cNvPr>
        <xdr:cNvSpPr/>
      </xdr:nvSpPr>
      <xdr:spPr>
        <a:xfrm>
          <a:off x="8102046" y="1217741"/>
          <a:ext cx="524227" cy="244800"/>
        </a:xfrm>
        <a:prstGeom prst="rect">
          <a:avLst/>
        </a:prstGeom>
        <a:solidFill>
          <a:srgbClr val="95B3D7"/>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algn="ctr"/>
          <a:r>
            <a:rPr lang="de-AT" sz="1000">
              <a:solidFill>
                <a:schemeClr val="bg1"/>
              </a:solidFill>
              <a:latin typeface="PP Pangram Sans Semibold" panose="00000705000000000000" pitchFamily="2" charset="0"/>
            </a:rPr>
            <a:t>ITC</a:t>
          </a:r>
        </a:p>
      </xdr:txBody>
    </xdr:sp>
    <xdr:clientData/>
  </xdr:twoCellAnchor>
  <xdr:twoCellAnchor>
    <xdr:from>
      <xdr:col>4</xdr:col>
      <xdr:colOff>238125</xdr:colOff>
      <xdr:row>6</xdr:row>
      <xdr:rowOff>25211</xdr:rowOff>
    </xdr:from>
    <xdr:to>
      <xdr:col>5</xdr:col>
      <xdr:colOff>802534</xdr:colOff>
      <xdr:row>7</xdr:row>
      <xdr:rowOff>79511</xdr:rowOff>
    </xdr:to>
    <xdr:sp macro="" textlink="">
      <xdr:nvSpPr>
        <xdr:cNvPr id="11" name="Rechteck 10">
          <a:extLst>
            <a:ext uri="{FF2B5EF4-FFF2-40B4-BE49-F238E27FC236}">
              <a16:creationId xmlns:a16="http://schemas.microsoft.com/office/drawing/2014/main" id="{BC50E273-E6EB-4805-8EFE-BB1D47980E2A}"/>
            </a:ext>
          </a:extLst>
        </xdr:cNvPr>
        <xdr:cNvSpPr/>
      </xdr:nvSpPr>
      <xdr:spPr>
        <a:xfrm>
          <a:off x="5086350" y="1225361"/>
          <a:ext cx="1802659" cy="244800"/>
        </a:xfrm>
        <a:prstGeom prst="rect">
          <a:avLst/>
        </a:prstGeom>
        <a:no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algn="r"/>
          <a:r>
            <a:rPr lang="de-AT" sz="1000" i="1">
              <a:solidFill>
                <a:schemeClr val="bg1">
                  <a:lumMod val="50000"/>
                </a:schemeClr>
              </a:solidFill>
              <a:latin typeface="PP Pangram Sans Medium" panose="00000605000000000000" pitchFamily="2" charset="0"/>
            </a:rPr>
            <a:t>[mio. EUR]</a:t>
          </a:r>
        </a:p>
      </xdr:txBody>
    </xdr:sp>
    <xdr:clientData/>
  </xdr:twoCellAnchor>
  <xdr:twoCellAnchor>
    <xdr:from>
      <xdr:col>7</xdr:col>
      <xdr:colOff>743471</xdr:colOff>
      <xdr:row>11</xdr:row>
      <xdr:rowOff>60061</xdr:rowOff>
    </xdr:from>
    <xdr:to>
      <xdr:col>8</xdr:col>
      <xdr:colOff>363806</xdr:colOff>
      <xdr:row>12</xdr:row>
      <xdr:rowOff>114361</xdr:rowOff>
    </xdr:to>
    <xdr:sp macro="" textlink="AH15">
      <xdr:nvSpPr>
        <xdr:cNvPr id="12" name="Rechteck 11">
          <a:extLst>
            <a:ext uri="{FF2B5EF4-FFF2-40B4-BE49-F238E27FC236}">
              <a16:creationId xmlns:a16="http://schemas.microsoft.com/office/drawing/2014/main" id="{9526889C-BDD9-42AB-A9B9-B9318024EBB8}"/>
            </a:ext>
          </a:extLst>
        </xdr:cNvPr>
        <xdr:cNvSpPr/>
      </xdr:nvSpPr>
      <xdr:spPr>
        <a:xfrm>
          <a:off x="8877821" y="2212711"/>
          <a:ext cx="525210" cy="244800"/>
        </a:xfrm>
        <a:prstGeom prst="rect">
          <a:avLst/>
        </a:prstGeom>
        <a:solidFill>
          <a:schemeClr val="bg1">
            <a:lumMod val="85000"/>
          </a:schemeClr>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algn="ctr"/>
          <a:fld id="{1E91ED3C-C025-4220-ADD7-584D37840D5C}" type="TxLink">
            <a:rPr lang="en-US" sz="1100" b="0" i="0" u="none" strike="noStrike">
              <a:solidFill>
                <a:schemeClr val="bg1">
                  <a:lumMod val="50000"/>
                </a:schemeClr>
              </a:solidFill>
              <a:latin typeface="Calibri"/>
              <a:ea typeface="Calibri"/>
              <a:cs typeface="Calibri"/>
            </a:rPr>
            <a:pPr algn="ctr"/>
            <a:t>73,2</a:t>
          </a:fld>
          <a:endParaRPr lang="de-AT" sz="1000" b="0">
            <a:solidFill>
              <a:schemeClr val="bg1">
                <a:lumMod val="50000"/>
              </a:schemeClr>
            </a:solidFill>
            <a:latin typeface="PP Pangram Sans Semibold" panose="00000705000000000000" pitchFamily="2" charset="0"/>
          </a:endParaRPr>
        </a:p>
      </xdr:txBody>
    </xdr:sp>
    <xdr:clientData/>
  </xdr:twoCellAnchor>
  <xdr:twoCellAnchor>
    <xdr:from>
      <xdr:col>7</xdr:col>
      <xdr:colOff>743471</xdr:colOff>
      <xdr:row>7</xdr:row>
      <xdr:rowOff>111494</xdr:rowOff>
    </xdr:from>
    <xdr:to>
      <xdr:col>8</xdr:col>
      <xdr:colOff>363806</xdr:colOff>
      <xdr:row>8</xdr:row>
      <xdr:rowOff>165794</xdr:rowOff>
    </xdr:to>
    <xdr:sp macro="" textlink="$AF$15">
      <xdr:nvSpPr>
        <xdr:cNvPr id="13" name="Rechteck 12">
          <a:extLst>
            <a:ext uri="{FF2B5EF4-FFF2-40B4-BE49-F238E27FC236}">
              <a16:creationId xmlns:a16="http://schemas.microsoft.com/office/drawing/2014/main" id="{76A0CBB8-8B34-4E30-A9FE-9DFE332A310B}"/>
            </a:ext>
          </a:extLst>
        </xdr:cNvPr>
        <xdr:cNvSpPr/>
      </xdr:nvSpPr>
      <xdr:spPr>
        <a:xfrm>
          <a:off x="8877821" y="1502144"/>
          <a:ext cx="525210" cy="244800"/>
        </a:xfrm>
        <a:prstGeom prst="rect">
          <a:avLst/>
        </a:prstGeom>
        <a:solidFill>
          <a:schemeClr val="bg1">
            <a:lumMod val="85000"/>
          </a:schemeClr>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algn="ctr"/>
          <a:fld id="{B6FBF376-C168-4437-BE87-29A880111C43}" type="TxLink">
            <a:rPr lang="en-US" sz="1100" b="0" i="0" u="none" strike="noStrike">
              <a:solidFill>
                <a:schemeClr val="bg1">
                  <a:lumMod val="50000"/>
                </a:schemeClr>
              </a:solidFill>
              <a:latin typeface="Calibri"/>
              <a:ea typeface="Calibri"/>
              <a:cs typeface="Calibri"/>
            </a:rPr>
            <a:pPr algn="ctr"/>
            <a:t>167,5</a:t>
          </a:fld>
          <a:endParaRPr lang="de-AT" sz="1000" b="0">
            <a:solidFill>
              <a:schemeClr val="bg1">
                <a:lumMod val="50000"/>
              </a:schemeClr>
            </a:solidFill>
            <a:latin typeface="PP Pangram Sans Semibold" panose="00000705000000000000" pitchFamily="2" charset="0"/>
          </a:endParaRPr>
        </a:p>
      </xdr:txBody>
    </xdr:sp>
    <xdr:clientData/>
  </xdr:twoCellAnchor>
  <xdr:twoCellAnchor>
    <xdr:from>
      <xdr:col>7</xdr:col>
      <xdr:colOff>739661</xdr:colOff>
      <xdr:row>13</xdr:row>
      <xdr:rowOff>174905</xdr:rowOff>
    </xdr:from>
    <xdr:to>
      <xdr:col>8</xdr:col>
      <xdr:colOff>359996</xdr:colOff>
      <xdr:row>15</xdr:row>
      <xdr:rowOff>38705</xdr:rowOff>
    </xdr:to>
    <xdr:sp macro="" textlink="AH16">
      <xdr:nvSpPr>
        <xdr:cNvPr id="14" name="Rechteck 13">
          <a:extLst>
            <a:ext uri="{FF2B5EF4-FFF2-40B4-BE49-F238E27FC236}">
              <a16:creationId xmlns:a16="http://schemas.microsoft.com/office/drawing/2014/main" id="{F19FFB56-662C-4E83-A064-290B98DBA338}"/>
            </a:ext>
          </a:extLst>
        </xdr:cNvPr>
        <xdr:cNvSpPr/>
      </xdr:nvSpPr>
      <xdr:spPr>
        <a:xfrm>
          <a:off x="8874011" y="2708555"/>
          <a:ext cx="525210" cy="244800"/>
        </a:xfrm>
        <a:prstGeom prst="rect">
          <a:avLst/>
        </a:prstGeom>
        <a:solidFill>
          <a:srgbClr val="FE6D73"/>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algn="ctr"/>
          <a:fld id="{A7C29A21-8590-42F0-843D-8FDE26AA5FB4}" type="TxLink">
            <a:rPr lang="en-US" sz="1100" b="1" i="0" u="none" strike="noStrike">
              <a:solidFill>
                <a:schemeClr val="bg1"/>
              </a:solidFill>
              <a:latin typeface="Calibri"/>
              <a:ea typeface="Calibri"/>
              <a:cs typeface="Calibri"/>
            </a:rPr>
            <a:pPr algn="ctr"/>
            <a:t>168,8</a:t>
          </a:fld>
          <a:endParaRPr lang="de-AT" sz="1000" b="1">
            <a:solidFill>
              <a:schemeClr val="bg1"/>
            </a:solidFill>
            <a:latin typeface="PP Pangram Sans Semibold" panose="00000705000000000000" pitchFamily="2" charset="0"/>
          </a:endParaRPr>
        </a:p>
      </xdr:txBody>
    </xdr:sp>
    <xdr:clientData/>
  </xdr:twoCellAnchor>
  <xdr:twoCellAnchor>
    <xdr:from>
      <xdr:col>7</xdr:col>
      <xdr:colOff>739661</xdr:colOff>
      <xdr:row>6</xdr:row>
      <xdr:rowOff>17591</xdr:rowOff>
    </xdr:from>
    <xdr:to>
      <xdr:col>8</xdr:col>
      <xdr:colOff>359996</xdr:colOff>
      <xdr:row>7</xdr:row>
      <xdr:rowOff>71891</xdr:rowOff>
    </xdr:to>
    <xdr:sp macro="" textlink="">
      <xdr:nvSpPr>
        <xdr:cNvPr id="15" name="Rechteck 14">
          <a:extLst>
            <a:ext uri="{FF2B5EF4-FFF2-40B4-BE49-F238E27FC236}">
              <a16:creationId xmlns:a16="http://schemas.microsoft.com/office/drawing/2014/main" id="{4D53BC06-F620-4528-BB6A-BE813E299524}"/>
            </a:ext>
          </a:extLst>
        </xdr:cNvPr>
        <xdr:cNvSpPr/>
      </xdr:nvSpPr>
      <xdr:spPr>
        <a:xfrm>
          <a:off x="8874011" y="1217741"/>
          <a:ext cx="525210" cy="244800"/>
        </a:xfrm>
        <a:prstGeom prst="rect">
          <a:avLst/>
        </a:prstGeom>
        <a:solidFill>
          <a:srgbClr val="0A4669"/>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algn="ctr"/>
          <a:r>
            <a:rPr lang="de-AT" sz="1000">
              <a:solidFill>
                <a:schemeClr val="bg1"/>
              </a:solidFill>
              <a:latin typeface="PP Pangram Sans Semibold" panose="00000705000000000000" pitchFamily="2" charset="0"/>
            </a:rPr>
            <a:t>TAG</a:t>
          </a:r>
        </a:p>
      </xdr:txBody>
    </xdr:sp>
    <xdr:clientData/>
  </xdr:twoCellAnchor>
  <xdr:twoCellAnchor>
    <xdr:from>
      <xdr:col>4</xdr:col>
      <xdr:colOff>247650</xdr:colOff>
      <xdr:row>17</xdr:row>
      <xdr:rowOff>96159</xdr:rowOff>
    </xdr:from>
    <xdr:to>
      <xdr:col>5</xdr:col>
      <xdr:colOff>282879</xdr:colOff>
      <xdr:row>18</xdr:row>
      <xdr:rowOff>150459</xdr:rowOff>
    </xdr:to>
    <xdr:sp macro="" textlink="">
      <xdr:nvSpPr>
        <xdr:cNvPr id="16" name="Rechteck 15">
          <a:extLst>
            <a:ext uri="{FF2B5EF4-FFF2-40B4-BE49-F238E27FC236}">
              <a16:creationId xmlns:a16="http://schemas.microsoft.com/office/drawing/2014/main" id="{0179D610-3E24-43CA-9E65-D83E20B636BD}"/>
            </a:ext>
          </a:extLst>
        </xdr:cNvPr>
        <xdr:cNvSpPr/>
      </xdr:nvSpPr>
      <xdr:spPr>
        <a:xfrm>
          <a:off x="5095875" y="3391809"/>
          <a:ext cx="1273479" cy="244800"/>
        </a:xfrm>
        <a:prstGeom prst="rect">
          <a:avLst/>
        </a:prstGeom>
        <a:solidFill>
          <a:srgbClr val="0A4669"/>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r>
            <a:rPr lang="de-AT" sz="1000" kern="1200">
              <a:solidFill>
                <a:schemeClr val="bg1"/>
              </a:solidFill>
              <a:latin typeface="PP Pangram Sans Semibold" panose="00000705000000000000" pitchFamily="2" charset="0"/>
              <a:ea typeface="+mn-ea"/>
              <a:cs typeface="+mn-cs"/>
            </a:rPr>
            <a:t>Cap</a:t>
          </a:r>
          <a:r>
            <a:rPr lang="de-AT" sz="1000">
              <a:solidFill>
                <a:schemeClr val="bg1"/>
              </a:solidFill>
              <a:latin typeface="PP Pangram Sans Semibold" panose="00000705000000000000" pitchFamily="2" charset="0"/>
            </a:rPr>
            <a:t>. E/X split</a:t>
          </a:r>
        </a:p>
      </xdr:txBody>
    </xdr:sp>
    <xdr:clientData/>
  </xdr:twoCellAnchor>
  <xdr:twoCellAnchor>
    <xdr:from>
      <xdr:col>5</xdr:col>
      <xdr:colOff>339587</xdr:colOff>
      <xdr:row>17</xdr:row>
      <xdr:rowOff>96159</xdr:rowOff>
    </xdr:from>
    <xdr:to>
      <xdr:col>5</xdr:col>
      <xdr:colOff>892105</xdr:colOff>
      <xdr:row>18</xdr:row>
      <xdr:rowOff>150459</xdr:rowOff>
    </xdr:to>
    <xdr:sp macro="" textlink="$C$21">
      <xdr:nvSpPr>
        <xdr:cNvPr id="17" name="Rechteck 16">
          <a:extLst>
            <a:ext uri="{FF2B5EF4-FFF2-40B4-BE49-F238E27FC236}">
              <a16:creationId xmlns:a16="http://schemas.microsoft.com/office/drawing/2014/main" id="{D0990409-89EC-476F-9E2C-EF8D5E8D32C8}"/>
            </a:ext>
          </a:extLst>
        </xdr:cNvPr>
        <xdr:cNvSpPr/>
      </xdr:nvSpPr>
      <xdr:spPr>
        <a:xfrm>
          <a:off x="6426062" y="3391809"/>
          <a:ext cx="552518" cy="244800"/>
        </a:xfrm>
        <a:prstGeom prst="rect">
          <a:avLst/>
        </a:prstGeom>
        <a:solidFill>
          <a:srgbClr val="0A4669"/>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algn="ctr"/>
          <a:fld id="{FF119343-CAB5-45BA-AFDE-91D7820D106C}" type="TxLink">
            <a:rPr lang="en-US" sz="1100" b="1" i="0" u="none" strike="noStrike">
              <a:solidFill>
                <a:schemeClr val="bg1"/>
              </a:solidFill>
              <a:latin typeface="Calibri"/>
              <a:ea typeface="Calibri"/>
              <a:cs typeface="Calibri"/>
            </a:rPr>
            <a:pPr algn="ctr"/>
            <a:t>25,1%</a:t>
          </a:fld>
          <a:endParaRPr lang="de-AT" sz="1000">
            <a:solidFill>
              <a:schemeClr val="bg1"/>
            </a:solidFill>
            <a:latin typeface="PP Pangram Sans Semibold" panose="00000705000000000000" pitchFamily="2" charset="0"/>
          </a:endParaRPr>
        </a:p>
      </xdr:txBody>
    </xdr:sp>
    <xdr:clientData/>
  </xdr:twoCellAnchor>
  <xdr:twoCellAnchor>
    <xdr:from>
      <xdr:col>6</xdr:col>
      <xdr:colOff>262842</xdr:colOff>
      <xdr:row>17</xdr:row>
      <xdr:rowOff>96159</xdr:rowOff>
    </xdr:from>
    <xdr:to>
      <xdr:col>7</xdr:col>
      <xdr:colOff>679360</xdr:colOff>
      <xdr:row>18</xdr:row>
      <xdr:rowOff>150459</xdr:rowOff>
    </xdr:to>
    <xdr:sp macro="" textlink="">
      <xdr:nvSpPr>
        <xdr:cNvPr id="18" name="Rechteck 17">
          <a:extLst>
            <a:ext uri="{FF2B5EF4-FFF2-40B4-BE49-F238E27FC236}">
              <a16:creationId xmlns:a16="http://schemas.microsoft.com/office/drawing/2014/main" id="{0F14C727-FB58-4EE1-96A0-2176FD5EF488}"/>
            </a:ext>
          </a:extLst>
        </xdr:cNvPr>
        <xdr:cNvSpPr/>
      </xdr:nvSpPr>
      <xdr:spPr>
        <a:xfrm>
          <a:off x="7558992" y="3391809"/>
          <a:ext cx="1254718" cy="244800"/>
        </a:xfrm>
        <a:prstGeom prst="rect">
          <a:avLst/>
        </a:prstGeom>
        <a:solidFill>
          <a:srgbClr val="0A4669"/>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r>
            <a:rPr lang="de-AT" sz="1000">
              <a:solidFill>
                <a:schemeClr val="bg1"/>
              </a:solidFill>
              <a:latin typeface="PP Pangram Sans Semibold" panose="00000705000000000000" pitchFamily="2" charset="0"/>
            </a:rPr>
            <a:t>CAA capacity</a:t>
          </a:r>
        </a:p>
      </xdr:txBody>
    </xdr:sp>
    <xdr:clientData/>
  </xdr:twoCellAnchor>
  <xdr:twoCellAnchor>
    <xdr:from>
      <xdr:col>7</xdr:col>
      <xdr:colOff>723111</xdr:colOff>
      <xdr:row>17</xdr:row>
      <xdr:rowOff>96159</xdr:rowOff>
    </xdr:from>
    <xdr:to>
      <xdr:col>8</xdr:col>
      <xdr:colOff>359996</xdr:colOff>
      <xdr:row>18</xdr:row>
      <xdr:rowOff>150459</xdr:rowOff>
    </xdr:to>
    <xdr:sp macro="" textlink="$C$22">
      <xdr:nvSpPr>
        <xdr:cNvPr id="19" name="Rechteck 18">
          <a:extLst>
            <a:ext uri="{FF2B5EF4-FFF2-40B4-BE49-F238E27FC236}">
              <a16:creationId xmlns:a16="http://schemas.microsoft.com/office/drawing/2014/main" id="{1DE6ADE0-3845-47ED-9DB3-DB44A6E6F912}"/>
            </a:ext>
          </a:extLst>
        </xdr:cNvPr>
        <xdr:cNvSpPr/>
      </xdr:nvSpPr>
      <xdr:spPr>
        <a:xfrm>
          <a:off x="8857461" y="3391809"/>
          <a:ext cx="541760" cy="244800"/>
        </a:xfrm>
        <a:prstGeom prst="rect">
          <a:avLst/>
        </a:prstGeom>
        <a:solidFill>
          <a:srgbClr val="0A4669"/>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algn="ctr"/>
          <a:fld id="{B310B016-8D2F-4BE9-988D-D24B679BF6D7}" type="TxLink">
            <a:rPr lang="en-US" sz="1100" b="1" i="0" u="none" strike="noStrike">
              <a:solidFill>
                <a:schemeClr val="bg1"/>
              </a:solidFill>
              <a:latin typeface="Calibri"/>
              <a:ea typeface="Calibri"/>
              <a:cs typeface="Calibri"/>
            </a:rPr>
            <a:pPr algn="ctr"/>
            <a:t>0,9%</a:t>
          </a:fld>
          <a:endParaRPr lang="de-AT" sz="1000">
            <a:solidFill>
              <a:schemeClr val="bg1"/>
            </a:solidFill>
            <a:latin typeface="PP Pangram Sans Semibold" panose="00000705000000000000" pitchFamily="2" charset="0"/>
          </a:endParaRPr>
        </a:p>
      </xdr:txBody>
    </xdr:sp>
    <xdr:clientData/>
  </xdr:twoCellAnchor>
  <xdr:twoCellAnchor>
    <xdr:from>
      <xdr:col>23</xdr:col>
      <xdr:colOff>228600</xdr:colOff>
      <xdr:row>36</xdr:row>
      <xdr:rowOff>38847</xdr:rowOff>
    </xdr:from>
    <xdr:to>
      <xdr:col>26</xdr:col>
      <xdr:colOff>840441</xdr:colOff>
      <xdr:row>41</xdr:row>
      <xdr:rowOff>156883</xdr:rowOff>
    </xdr:to>
    <xdr:sp macro="" textlink="">
      <xdr:nvSpPr>
        <xdr:cNvPr id="20" name="Textfeld 19">
          <a:extLst>
            <a:ext uri="{FF2B5EF4-FFF2-40B4-BE49-F238E27FC236}">
              <a16:creationId xmlns:a16="http://schemas.microsoft.com/office/drawing/2014/main" id="{87D5E6ED-0880-4155-BBE5-519443A5BFD2}"/>
            </a:ext>
          </a:extLst>
        </xdr:cNvPr>
        <xdr:cNvSpPr txBox="1"/>
      </xdr:nvSpPr>
      <xdr:spPr>
        <a:xfrm>
          <a:off x="22517100" y="6963522"/>
          <a:ext cx="3212166" cy="107053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AT" sz="800" i="1"/>
            <a:t>calculations set</a:t>
          </a:r>
          <a:r>
            <a:rPr lang="de-AT" sz="800" i="1" baseline="0"/>
            <a:t> up only for case that GCA is providing the ITC to TAG</a:t>
          </a:r>
          <a:endParaRPr lang="de-AT" sz="800" i="1"/>
        </a:p>
      </xdr:txBody>
    </xdr:sp>
    <xdr:clientData/>
  </xdr:twoCellAnchor>
  <xdr:twoCellAnchor>
    <xdr:from>
      <xdr:col>4</xdr:col>
      <xdr:colOff>243840</xdr:colOff>
      <xdr:row>9</xdr:row>
      <xdr:rowOff>21997</xdr:rowOff>
    </xdr:from>
    <xdr:to>
      <xdr:col>5</xdr:col>
      <xdr:colOff>893490</xdr:colOff>
      <xdr:row>10</xdr:row>
      <xdr:rowOff>76297</xdr:rowOff>
    </xdr:to>
    <xdr:sp macro="" textlink="">
      <xdr:nvSpPr>
        <xdr:cNvPr id="21" name="Rechteck 20">
          <a:extLst>
            <a:ext uri="{FF2B5EF4-FFF2-40B4-BE49-F238E27FC236}">
              <a16:creationId xmlns:a16="http://schemas.microsoft.com/office/drawing/2014/main" id="{1E0C7090-FEAF-49BA-BE07-B803B6177BFF}"/>
            </a:ext>
          </a:extLst>
        </xdr:cNvPr>
        <xdr:cNvSpPr/>
      </xdr:nvSpPr>
      <xdr:spPr>
        <a:xfrm>
          <a:off x="5092065" y="1793647"/>
          <a:ext cx="1887900" cy="244800"/>
        </a:xfrm>
        <a:prstGeom prst="rect">
          <a:avLst/>
        </a:prstGeom>
        <a:solidFill>
          <a:srgbClr val="0A4669"/>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r>
            <a:rPr lang="de-AT" sz="1000">
              <a:solidFill>
                <a:schemeClr val="bg1"/>
              </a:solidFill>
              <a:latin typeface="PP Pangram Sans Semibold" panose="00000705000000000000" pitchFamily="2" charset="0"/>
            </a:rPr>
            <a:t>Planned capacity revenues</a:t>
          </a:r>
        </a:p>
      </xdr:txBody>
    </xdr:sp>
    <xdr:clientData/>
  </xdr:twoCellAnchor>
  <xdr:twoCellAnchor>
    <xdr:from>
      <xdr:col>6</xdr:col>
      <xdr:colOff>22876</xdr:colOff>
      <xdr:row>9</xdr:row>
      <xdr:rowOff>21997</xdr:rowOff>
    </xdr:from>
    <xdr:to>
      <xdr:col>6</xdr:col>
      <xdr:colOff>558157</xdr:colOff>
      <xdr:row>10</xdr:row>
      <xdr:rowOff>76297</xdr:rowOff>
    </xdr:to>
    <xdr:sp macro="" textlink="AF21">
      <xdr:nvSpPr>
        <xdr:cNvPr id="22" name="Rechteck 21">
          <a:extLst>
            <a:ext uri="{FF2B5EF4-FFF2-40B4-BE49-F238E27FC236}">
              <a16:creationId xmlns:a16="http://schemas.microsoft.com/office/drawing/2014/main" id="{6BF7E113-E8B3-4565-A928-44DD4A8A88AA}"/>
            </a:ext>
          </a:extLst>
        </xdr:cNvPr>
        <xdr:cNvSpPr/>
      </xdr:nvSpPr>
      <xdr:spPr>
        <a:xfrm>
          <a:off x="7319026" y="1793647"/>
          <a:ext cx="535281" cy="244800"/>
        </a:xfrm>
        <a:prstGeom prst="rect">
          <a:avLst/>
        </a:prstGeom>
        <a:solidFill>
          <a:schemeClr val="bg1">
            <a:lumMod val="85000"/>
          </a:schemeClr>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marL="0" indent="0" algn="ctr" defTabSz="144000" rtl="0" eaLnBrk="1" latinLnBrk="0" hangingPunct="1"/>
          <a:fld id="{583443FB-B6BC-404B-ACA9-C6A32B0A5DA4}" type="TxLink">
            <a:rPr lang="en-US" sz="1100" b="0" i="0" u="none" strike="noStrike" kern="1200">
              <a:solidFill>
                <a:schemeClr val="bg1">
                  <a:lumMod val="50000"/>
                </a:schemeClr>
              </a:solidFill>
              <a:latin typeface="Calibri"/>
              <a:ea typeface="Calibri"/>
              <a:cs typeface="Calibri"/>
            </a:rPr>
            <a:pPr marL="0" indent="0" algn="ctr" defTabSz="144000" rtl="0" eaLnBrk="1" latinLnBrk="0" hangingPunct="1"/>
            <a:t>194,7</a:t>
          </a:fld>
          <a:endParaRPr lang="de-AT" sz="1100" b="0" i="0" u="none" strike="noStrike" kern="1200">
            <a:solidFill>
              <a:schemeClr val="bg1">
                <a:lumMod val="50000"/>
              </a:schemeClr>
            </a:solidFill>
            <a:latin typeface="Calibri"/>
            <a:ea typeface="Calibri"/>
            <a:cs typeface="Calibri"/>
          </a:endParaRPr>
        </a:p>
      </xdr:txBody>
    </xdr:sp>
    <xdr:clientData/>
  </xdr:twoCellAnchor>
  <xdr:twoCellAnchor>
    <xdr:from>
      <xdr:col>6</xdr:col>
      <xdr:colOff>809706</xdr:colOff>
      <xdr:row>9</xdr:row>
      <xdr:rowOff>21997</xdr:rowOff>
    </xdr:from>
    <xdr:to>
      <xdr:col>7</xdr:col>
      <xdr:colOff>488113</xdr:colOff>
      <xdr:row>10</xdr:row>
      <xdr:rowOff>76297</xdr:rowOff>
    </xdr:to>
    <xdr:sp macro="" textlink="AF17">
      <xdr:nvSpPr>
        <xdr:cNvPr id="23" name="Rechteck 22">
          <a:extLst>
            <a:ext uri="{FF2B5EF4-FFF2-40B4-BE49-F238E27FC236}">
              <a16:creationId xmlns:a16="http://schemas.microsoft.com/office/drawing/2014/main" id="{D95A93FC-13B8-4B2D-A2C3-0663C1D09A96}"/>
            </a:ext>
          </a:extLst>
        </xdr:cNvPr>
        <xdr:cNvSpPr/>
      </xdr:nvSpPr>
      <xdr:spPr>
        <a:xfrm>
          <a:off x="8105856" y="1793647"/>
          <a:ext cx="516607" cy="244800"/>
        </a:xfrm>
        <a:prstGeom prst="rect">
          <a:avLst/>
        </a:prstGeom>
        <a:solidFill>
          <a:srgbClr val="DCE6F2"/>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algn="ctr"/>
          <a:fld id="{24582AEA-4C6B-4D4F-B4B8-5EEACC623E44}" type="TxLink">
            <a:rPr lang="en-US" sz="1100" b="0" i="0" u="none" strike="noStrike">
              <a:solidFill>
                <a:schemeClr val="bg1">
                  <a:lumMod val="50000"/>
                </a:schemeClr>
              </a:solidFill>
              <a:latin typeface="Calibri"/>
              <a:ea typeface="Calibri"/>
              <a:cs typeface="Calibri"/>
            </a:rPr>
            <a:pPr algn="ctr"/>
            <a:t>95,6</a:t>
          </a:fld>
          <a:endParaRPr lang="de-AT" sz="1000" b="0">
            <a:solidFill>
              <a:schemeClr val="bg1">
                <a:lumMod val="50000"/>
              </a:schemeClr>
            </a:solidFill>
            <a:latin typeface="PP Pangram Sans Semibold" panose="00000705000000000000" pitchFamily="2" charset="0"/>
          </a:endParaRPr>
        </a:p>
      </xdr:txBody>
    </xdr:sp>
    <xdr:clientData/>
  </xdr:twoCellAnchor>
  <xdr:twoCellAnchor>
    <xdr:from>
      <xdr:col>7</xdr:col>
      <xdr:colOff>739661</xdr:colOff>
      <xdr:row>9</xdr:row>
      <xdr:rowOff>21997</xdr:rowOff>
    </xdr:from>
    <xdr:to>
      <xdr:col>8</xdr:col>
      <xdr:colOff>359996</xdr:colOff>
      <xdr:row>10</xdr:row>
      <xdr:rowOff>76297</xdr:rowOff>
    </xdr:to>
    <xdr:sp macro="" textlink="AF22">
      <xdr:nvSpPr>
        <xdr:cNvPr id="24" name="Rechteck 23">
          <a:extLst>
            <a:ext uri="{FF2B5EF4-FFF2-40B4-BE49-F238E27FC236}">
              <a16:creationId xmlns:a16="http://schemas.microsoft.com/office/drawing/2014/main" id="{121499B4-2B0F-4914-A276-FC4F46C23E1C}"/>
            </a:ext>
          </a:extLst>
        </xdr:cNvPr>
        <xdr:cNvSpPr/>
      </xdr:nvSpPr>
      <xdr:spPr>
        <a:xfrm>
          <a:off x="8874011" y="1793647"/>
          <a:ext cx="525210" cy="244800"/>
        </a:xfrm>
        <a:prstGeom prst="rect">
          <a:avLst/>
        </a:prstGeom>
        <a:solidFill>
          <a:schemeClr val="bg1">
            <a:lumMod val="85000"/>
          </a:schemeClr>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marL="0" indent="0" algn="ctr" defTabSz="144000" rtl="0" eaLnBrk="1" latinLnBrk="0" hangingPunct="1"/>
          <a:fld id="{E39E1A8C-92B8-4D86-8F27-B5E4B5E775B9}" type="TxLink">
            <a:rPr lang="en-US" sz="1100" b="0" i="0" u="none" strike="noStrike" kern="1200">
              <a:solidFill>
                <a:schemeClr val="bg1">
                  <a:lumMod val="50000"/>
                </a:schemeClr>
              </a:solidFill>
              <a:latin typeface="Calibri"/>
              <a:ea typeface="Calibri"/>
              <a:cs typeface="Calibri"/>
            </a:rPr>
            <a:pPr marL="0" indent="0" algn="ctr" defTabSz="144000" rtl="0" eaLnBrk="1" latinLnBrk="0" hangingPunct="1"/>
            <a:t>71,9</a:t>
          </a:fld>
          <a:endParaRPr lang="de-AT" sz="1100" b="0" i="0" u="none" strike="noStrike" kern="1200">
            <a:solidFill>
              <a:schemeClr val="bg1">
                <a:lumMod val="50000"/>
              </a:schemeClr>
            </a:solidFill>
            <a:latin typeface="Calibri"/>
            <a:ea typeface="Calibri"/>
            <a:cs typeface="Calibri"/>
          </a:endParaRPr>
        </a:p>
      </xdr:txBody>
    </xdr:sp>
    <xdr:clientData/>
  </xdr:twoCellAnchor>
  <xdr:twoCellAnchor>
    <xdr:from>
      <xdr:col>6</xdr:col>
      <xdr:colOff>556252</xdr:colOff>
      <xdr:row>8</xdr:row>
      <xdr:rowOff>43394</xdr:rowOff>
    </xdr:from>
    <xdr:to>
      <xdr:col>7</xdr:col>
      <xdr:colOff>223086</xdr:colOff>
      <xdr:row>9</xdr:row>
      <xdr:rowOff>21997</xdr:rowOff>
    </xdr:to>
    <xdr:cxnSp macro="">
      <xdr:nvCxnSpPr>
        <xdr:cNvPr id="25" name="Verbinder: gewinkelt 24">
          <a:extLst>
            <a:ext uri="{FF2B5EF4-FFF2-40B4-BE49-F238E27FC236}">
              <a16:creationId xmlns:a16="http://schemas.microsoft.com/office/drawing/2014/main" id="{D6744110-8758-4DAA-B32A-6313F118D02D}"/>
            </a:ext>
          </a:extLst>
        </xdr:cNvPr>
        <xdr:cNvCxnSpPr>
          <a:stCxn id="5" idx="3"/>
          <a:endCxn id="23" idx="0"/>
        </xdr:cNvCxnSpPr>
      </xdr:nvCxnSpPr>
      <xdr:spPr>
        <a:xfrm>
          <a:off x="7852402" y="1624544"/>
          <a:ext cx="505034" cy="169103"/>
        </a:xfrm>
        <a:prstGeom prst="bentConnector2">
          <a:avLst/>
        </a:prstGeom>
        <a:ln>
          <a:solidFill>
            <a:schemeClr val="bg1">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223087</xdr:colOff>
      <xdr:row>8</xdr:row>
      <xdr:rowOff>43393</xdr:rowOff>
    </xdr:from>
    <xdr:to>
      <xdr:col>7</xdr:col>
      <xdr:colOff>743472</xdr:colOff>
      <xdr:row>9</xdr:row>
      <xdr:rowOff>21996</xdr:rowOff>
    </xdr:to>
    <xdr:cxnSp macro="">
      <xdr:nvCxnSpPr>
        <xdr:cNvPr id="26" name="Verbinder: gewinkelt 25">
          <a:extLst>
            <a:ext uri="{FF2B5EF4-FFF2-40B4-BE49-F238E27FC236}">
              <a16:creationId xmlns:a16="http://schemas.microsoft.com/office/drawing/2014/main" id="{5B24F055-37C7-4B5C-A37D-37AC1D76F7F8}"/>
            </a:ext>
          </a:extLst>
        </xdr:cNvPr>
        <xdr:cNvCxnSpPr>
          <a:stCxn id="13" idx="1"/>
          <a:endCxn id="23" idx="0"/>
        </xdr:cNvCxnSpPr>
      </xdr:nvCxnSpPr>
      <xdr:spPr>
        <a:xfrm rot="10800000" flipV="1">
          <a:off x="8357437" y="1624543"/>
          <a:ext cx="520385" cy="169103"/>
        </a:xfrm>
        <a:prstGeom prst="bentConnector2">
          <a:avLst/>
        </a:prstGeom>
        <a:ln>
          <a:solidFill>
            <a:schemeClr val="bg1">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243840</xdr:colOff>
      <xdr:row>15</xdr:row>
      <xdr:rowOff>78441</xdr:rowOff>
    </xdr:from>
    <xdr:to>
      <xdr:col>5</xdr:col>
      <xdr:colOff>891540</xdr:colOff>
      <xdr:row>16</xdr:row>
      <xdr:rowOff>132741</xdr:rowOff>
    </xdr:to>
    <xdr:sp macro="" textlink="">
      <xdr:nvSpPr>
        <xdr:cNvPr id="27" name="Rechteck 26">
          <a:extLst>
            <a:ext uri="{FF2B5EF4-FFF2-40B4-BE49-F238E27FC236}">
              <a16:creationId xmlns:a16="http://schemas.microsoft.com/office/drawing/2014/main" id="{85CE4DD8-7621-4C60-8A40-5AC5C263BBBE}"/>
            </a:ext>
          </a:extLst>
        </xdr:cNvPr>
        <xdr:cNvSpPr/>
      </xdr:nvSpPr>
      <xdr:spPr>
        <a:xfrm>
          <a:off x="5092065" y="2993091"/>
          <a:ext cx="1885950" cy="244800"/>
        </a:xfrm>
        <a:prstGeom prst="rect">
          <a:avLst/>
        </a:prstGeom>
        <a:solidFill>
          <a:srgbClr val="0A4669"/>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r>
            <a:rPr lang="de-AT" sz="1000">
              <a:solidFill>
                <a:schemeClr val="bg1"/>
              </a:solidFill>
              <a:latin typeface="PP Pangram Sans Semibold" panose="00000705000000000000" pitchFamily="2" charset="0"/>
            </a:rPr>
            <a:t>Delta</a:t>
          </a:r>
        </a:p>
      </xdr:txBody>
    </xdr:sp>
    <xdr:clientData/>
  </xdr:twoCellAnchor>
  <xdr:twoCellAnchor>
    <xdr:from>
      <xdr:col>6</xdr:col>
      <xdr:colOff>19066</xdr:colOff>
      <xdr:row>15</xdr:row>
      <xdr:rowOff>78441</xdr:rowOff>
    </xdr:from>
    <xdr:to>
      <xdr:col>6</xdr:col>
      <xdr:colOff>556252</xdr:colOff>
      <xdr:row>16</xdr:row>
      <xdr:rowOff>132741</xdr:rowOff>
    </xdr:to>
    <xdr:sp macro="" textlink="AF26">
      <xdr:nvSpPr>
        <xdr:cNvPr id="28" name="Rechteck 27">
          <a:extLst>
            <a:ext uri="{FF2B5EF4-FFF2-40B4-BE49-F238E27FC236}">
              <a16:creationId xmlns:a16="http://schemas.microsoft.com/office/drawing/2014/main" id="{8A779E78-D6C2-4AD6-BB23-1751464612A5}"/>
            </a:ext>
          </a:extLst>
        </xdr:cNvPr>
        <xdr:cNvSpPr/>
      </xdr:nvSpPr>
      <xdr:spPr>
        <a:xfrm>
          <a:off x="7315216" y="2993091"/>
          <a:ext cx="537186" cy="244800"/>
        </a:xfrm>
        <a:prstGeom prst="rect">
          <a:avLst/>
        </a:prstGeom>
        <a:solidFill>
          <a:schemeClr val="bg1">
            <a:lumMod val="85000"/>
          </a:schemeClr>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marL="0" indent="0" algn="ctr" defTabSz="144000" rtl="0" eaLnBrk="1" latinLnBrk="0" hangingPunct="1"/>
          <a:fld id="{C62DB72E-5178-4549-AEFC-A574F2CAF727}" type="TxLink">
            <a:rPr lang="en-US" sz="1100" b="0" i="0" u="none" strike="noStrike" kern="1200">
              <a:solidFill>
                <a:schemeClr val="bg1">
                  <a:lumMod val="50000"/>
                </a:schemeClr>
              </a:solidFill>
              <a:latin typeface="Calibri"/>
              <a:ea typeface="Calibri"/>
              <a:cs typeface="Calibri"/>
            </a:rPr>
            <a:pPr marL="0" indent="0" algn="ctr" defTabSz="144000" rtl="0" eaLnBrk="1" latinLnBrk="0" hangingPunct="1"/>
            <a:t>4,0</a:t>
          </a:fld>
          <a:endParaRPr lang="de-AT" sz="1100" b="0" i="0" u="none" strike="noStrike" kern="1200">
            <a:solidFill>
              <a:schemeClr val="bg1">
                <a:lumMod val="50000"/>
              </a:schemeClr>
            </a:solidFill>
            <a:latin typeface="Calibri"/>
            <a:ea typeface="Calibri"/>
            <a:cs typeface="Calibri"/>
          </a:endParaRPr>
        </a:p>
      </xdr:txBody>
    </xdr:sp>
    <xdr:clientData/>
  </xdr:twoCellAnchor>
  <xdr:twoCellAnchor>
    <xdr:from>
      <xdr:col>7</xdr:col>
      <xdr:colOff>743471</xdr:colOff>
      <xdr:row>15</xdr:row>
      <xdr:rowOff>78441</xdr:rowOff>
    </xdr:from>
    <xdr:to>
      <xdr:col>8</xdr:col>
      <xdr:colOff>363806</xdr:colOff>
      <xdr:row>16</xdr:row>
      <xdr:rowOff>132741</xdr:rowOff>
    </xdr:to>
    <xdr:sp macro="" textlink="AH17">
      <xdr:nvSpPr>
        <xdr:cNvPr id="29" name="Rechteck 28">
          <a:extLst>
            <a:ext uri="{FF2B5EF4-FFF2-40B4-BE49-F238E27FC236}">
              <a16:creationId xmlns:a16="http://schemas.microsoft.com/office/drawing/2014/main" id="{0E7C3C68-72CC-45AB-87BA-ED335FBB7BFD}"/>
            </a:ext>
          </a:extLst>
        </xdr:cNvPr>
        <xdr:cNvSpPr/>
      </xdr:nvSpPr>
      <xdr:spPr>
        <a:xfrm>
          <a:off x="8877821" y="2993091"/>
          <a:ext cx="525210" cy="244800"/>
        </a:xfrm>
        <a:prstGeom prst="rect">
          <a:avLst/>
        </a:prstGeom>
        <a:solidFill>
          <a:schemeClr val="bg1">
            <a:lumMod val="85000"/>
          </a:schemeClr>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marL="0" indent="0" algn="ctr" defTabSz="144000" rtl="0" eaLnBrk="1" latinLnBrk="0" hangingPunct="1"/>
          <a:fld id="{D1C56725-558D-461C-B3D3-99B8AFED2099}" type="TxLink">
            <a:rPr lang="en-US" sz="1100" b="0" i="0" u="none" strike="noStrike" kern="1200">
              <a:solidFill>
                <a:schemeClr val="bg1">
                  <a:lumMod val="50000"/>
                </a:schemeClr>
              </a:solidFill>
              <a:latin typeface="Calibri"/>
              <a:ea typeface="Calibri"/>
              <a:cs typeface="Calibri"/>
            </a:rPr>
            <a:pPr marL="0" indent="0" algn="ctr" defTabSz="144000" rtl="0" eaLnBrk="1" latinLnBrk="0" hangingPunct="1"/>
            <a:t>1,3</a:t>
          </a:fld>
          <a:endParaRPr lang="de-AT" sz="1100" b="0" i="0" u="none" strike="noStrike" kern="1200">
            <a:solidFill>
              <a:schemeClr val="bg1">
                <a:lumMod val="50000"/>
              </a:schemeClr>
            </a:solidFill>
            <a:latin typeface="Calibri"/>
            <a:ea typeface="Calibri"/>
            <a:cs typeface="Calibri"/>
          </a:endParaRPr>
        </a:p>
      </xdr:txBody>
    </xdr:sp>
    <xdr:clientData/>
  </xdr:twoCellAnchor>
  <xdr:twoCellAnchor>
    <xdr:from>
      <xdr:col>6</xdr:col>
      <xdr:colOff>846017</xdr:colOff>
      <xdr:row>12</xdr:row>
      <xdr:rowOff>20731</xdr:rowOff>
    </xdr:from>
    <xdr:to>
      <xdr:col>7</xdr:col>
      <xdr:colOff>603257</xdr:colOff>
      <xdr:row>13</xdr:row>
      <xdr:rowOff>75031</xdr:rowOff>
    </xdr:to>
    <xdr:sp macro="" textlink="AF19">
      <xdr:nvSpPr>
        <xdr:cNvPr id="30" name="Rechteck 29">
          <a:extLst>
            <a:ext uri="{FF2B5EF4-FFF2-40B4-BE49-F238E27FC236}">
              <a16:creationId xmlns:a16="http://schemas.microsoft.com/office/drawing/2014/main" id="{26E5A7D2-64C2-4EA2-9DEC-EA384EA020A3}"/>
            </a:ext>
          </a:extLst>
        </xdr:cNvPr>
        <xdr:cNvSpPr/>
      </xdr:nvSpPr>
      <xdr:spPr>
        <a:xfrm>
          <a:off x="8132642" y="2363881"/>
          <a:ext cx="604965" cy="244800"/>
        </a:xfrm>
        <a:prstGeom prst="rect">
          <a:avLst/>
        </a:prstGeom>
        <a:no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marL="0" indent="0" algn="r" defTabSz="144000" rtl="0" eaLnBrk="1" latinLnBrk="0" hangingPunct="1"/>
          <a:fld id="{A21DC994-4EC4-4308-9CF4-91B5E97C9965}" type="TxLink">
            <a:rPr lang="en-US" sz="1100" b="0" i="0" u="none" strike="noStrike" kern="1200">
              <a:solidFill>
                <a:schemeClr val="bg1">
                  <a:lumMod val="50000"/>
                </a:schemeClr>
              </a:solidFill>
              <a:latin typeface="Calibri"/>
              <a:ea typeface="Calibri"/>
              <a:cs typeface="Calibri"/>
            </a:rPr>
            <a:pPr marL="0" indent="0" algn="r" defTabSz="144000" rtl="0" eaLnBrk="1" latinLnBrk="0" hangingPunct="1"/>
            <a:t>0,0</a:t>
          </a:fld>
          <a:endParaRPr lang="de-AT" sz="1100" b="0" i="0" u="none" strike="noStrike" kern="1200">
            <a:solidFill>
              <a:schemeClr val="bg1">
                <a:lumMod val="50000"/>
              </a:schemeClr>
            </a:solidFill>
            <a:latin typeface="Calibri"/>
            <a:ea typeface="Calibri"/>
            <a:cs typeface="Calibri"/>
          </a:endParaRPr>
        </a:p>
      </xdr:txBody>
    </xdr:sp>
    <xdr:clientData/>
  </xdr:twoCellAnchor>
  <xdr:twoCellAnchor>
    <xdr:from>
      <xdr:col>7</xdr:col>
      <xdr:colOff>222134</xdr:colOff>
      <xdr:row>10</xdr:row>
      <xdr:rowOff>76297</xdr:rowOff>
    </xdr:from>
    <xdr:to>
      <xdr:col>7</xdr:col>
      <xdr:colOff>223086</xdr:colOff>
      <xdr:row>13</xdr:row>
      <xdr:rowOff>174905</xdr:rowOff>
    </xdr:to>
    <xdr:cxnSp macro="">
      <xdr:nvCxnSpPr>
        <xdr:cNvPr id="31" name="Gerade Verbindung mit Pfeil 30">
          <a:extLst>
            <a:ext uri="{FF2B5EF4-FFF2-40B4-BE49-F238E27FC236}">
              <a16:creationId xmlns:a16="http://schemas.microsoft.com/office/drawing/2014/main" id="{1CFB6877-D37A-45BE-9A0F-7148F7C844FC}"/>
            </a:ext>
          </a:extLst>
        </xdr:cNvPr>
        <xdr:cNvCxnSpPr>
          <a:stCxn id="23" idx="2"/>
          <a:endCxn id="9" idx="0"/>
        </xdr:cNvCxnSpPr>
      </xdr:nvCxnSpPr>
      <xdr:spPr>
        <a:xfrm flipH="1">
          <a:off x="8356484" y="2038447"/>
          <a:ext cx="952" cy="670108"/>
        </a:xfrm>
        <a:prstGeom prst="straightConnector1">
          <a:avLst/>
        </a:prstGeom>
        <a:ln>
          <a:solidFill>
            <a:schemeClr val="bg1">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556252</xdr:colOff>
      <xdr:row>11</xdr:row>
      <xdr:rowOff>182461</xdr:rowOff>
    </xdr:from>
    <xdr:to>
      <xdr:col>7</xdr:col>
      <xdr:colOff>743471</xdr:colOff>
      <xdr:row>11</xdr:row>
      <xdr:rowOff>182461</xdr:rowOff>
    </xdr:to>
    <xdr:cxnSp macro="">
      <xdr:nvCxnSpPr>
        <xdr:cNvPr id="32" name="Gerader Verbinder 31">
          <a:extLst>
            <a:ext uri="{FF2B5EF4-FFF2-40B4-BE49-F238E27FC236}">
              <a16:creationId xmlns:a16="http://schemas.microsoft.com/office/drawing/2014/main" id="{99C88116-C10A-4137-AC02-CCBACF51ECB1}"/>
            </a:ext>
          </a:extLst>
        </xdr:cNvPr>
        <xdr:cNvCxnSpPr>
          <a:stCxn id="4" idx="3"/>
          <a:endCxn id="12" idx="1"/>
        </xdr:cNvCxnSpPr>
      </xdr:nvCxnSpPr>
      <xdr:spPr>
        <a:xfrm>
          <a:off x="7852402" y="2335111"/>
          <a:ext cx="1025419" cy="0"/>
        </a:xfrm>
        <a:prstGeom prst="line">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556252</xdr:colOff>
      <xdr:row>14</xdr:row>
      <xdr:rowOff>106805</xdr:rowOff>
    </xdr:from>
    <xdr:to>
      <xdr:col>6</xdr:col>
      <xdr:colOff>807801</xdr:colOff>
      <xdr:row>14</xdr:row>
      <xdr:rowOff>106805</xdr:rowOff>
    </xdr:to>
    <xdr:cxnSp macro="">
      <xdr:nvCxnSpPr>
        <xdr:cNvPr id="33" name="Gerade Verbindung mit Pfeil 32">
          <a:extLst>
            <a:ext uri="{FF2B5EF4-FFF2-40B4-BE49-F238E27FC236}">
              <a16:creationId xmlns:a16="http://schemas.microsoft.com/office/drawing/2014/main" id="{49F5EFDA-E68B-4416-8691-890A6A0D1CF0}"/>
            </a:ext>
          </a:extLst>
        </xdr:cNvPr>
        <xdr:cNvCxnSpPr>
          <a:stCxn id="9" idx="1"/>
          <a:endCxn id="7" idx="3"/>
        </xdr:cNvCxnSpPr>
      </xdr:nvCxnSpPr>
      <xdr:spPr>
        <a:xfrm flipH="1">
          <a:off x="7852402" y="2830955"/>
          <a:ext cx="251549" cy="0"/>
        </a:xfrm>
        <a:prstGeom prst="straightConnector1">
          <a:avLst/>
        </a:prstGeom>
        <a:ln>
          <a:solidFill>
            <a:schemeClr val="bg1">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488113</xdr:colOff>
      <xdr:row>14</xdr:row>
      <xdr:rowOff>106805</xdr:rowOff>
    </xdr:from>
    <xdr:to>
      <xdr:col>7</xdr:col>
      <xdr:colOff>739661</xdr:colOff>
      <xdr:row>14</xdr:row>
      <xdr:rowOff>106805</xdr:rowOff>
    </xdr:to>
    <xdr:cxnSp macro="">
      <xdr:nvCxnSpPr>
        <xdr:cNvPr id="34" name="Gerade Verbindung mit Pfeil 33">
          <a:extLst>
            <a:ext uri="{FF2B5EF4-FFF2-40B4-BE49-F238E27FC236}">
              <a16:creationId xmlns:a16="http://schemas.microsoft.com/office/drawing/2014/main" id="{98BB798E-1805-4183-8C13-F12A0589267A}"/>
            </a:ext>
          </a:extLst>
        </xdr:cNvPr>
        <xdr:cNvCxnSpPr>
          <a:stCxn id="9" idx="3"/>
          <a:endCxn id="14" idx="1"/>
        </xdr:cNvCxnSpPr>
      </xdr:nvCxnSpPr>
      <xdr:spPr>
        <a:xfrm>
          <a:off x="8622463" y="2830955"/>
          <a:ext cx="251548" cy="0"/>
        </a:xfrm>
        <a:prstGeom prst="straightConnector1">
          <a:avLst/>
        </a:prstGeom>
        <a:ln>
          <a:solidFill>
            <a:schemeClr val="bg1">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243840</xdr:colOff>
      <xdr:row>29</xdr:row>
      <xdr:rowOff>50537</xdr:rowOff>
    </xdr:from>
    <xdr:to>
      <xdr:col>5</xdr:col>
      <xdr:colOff>893490</xdr:colOff>
      <xdr:row>30</xdr:row>
      <xdr:rowOff>104837</xdr:rowOff>
    </xdr:to>
    <xdr:sp macro="" textlink="">
      <xdr:nvSpPr>
        <xdr:cNvPr id="35" name="Rechteck 34">
          <a:extLst>
            <a:ext uri="{FF2B5EF4-FFF2-40B4-BE49-F238E27FC236}">
              <a16:creationId xmlns:a16="http://schemas.microsoft.com/office/drawing/2014/main" id="{04345219-8C67-4C4F-8517-7F2647CA6A61}"/>
            </a:ext>
          </a:extLst>
        </xdr:cNvPr>
        <xdr:cNvSpPr/>
      </xdr:nvSpPr>
      <xdr:spPr>
        <a:xfrm>
          <a:off x="5092065" y="5632187"/>
          <a:ext cx="1887900" cy="244800"/>
        </a:xfrm>
        <a:prstGeom prst="rect">
          <a:avLst/>
        </a:prstGeom>
        <a:solidFill>
          <a:srgbClr val="0A4669"/>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r>
            <a:rPr lang="de-AT" sz="1000">
              <a:solidFill>
                <a:schemeClr val="bg1"/>
              </a:solidFill>
              <a:latin typeface="PP Pangram Sans Semibold" panose="00000705000000000000" pitchFamily="2" charset="0"/>
            </a:rPr>
            <a:t>Actual</a:t>
          </a:r>
          <a:r>
            <a:rPr lang="de-AT" sz="1000" baseline="0">
              <a:solidFill>
                <a:schemeClr val="bg1"/>
              </a:solidFill>
              <a:latin typeface="PP Pangram Sans Semibold" panose="00000705000000000000" pitchFamily="2" charset="0"/>
            </a:rPr>
            <a:t> commodity</a:t>
          </a:r>
          <a:r>
            <a:rPr lang="de-AT" sz="1000">
              <a:solidFill>
                <a:schemeClr val="bg1"/>
              </a:solidFill>
              <a:latin typeface="PP Pangram Sans Semibold" panose="00000705000000000000" pitchFamily="2" charset="0"/>
            </a:rPr>
            <a:t> revenues</a:t>
          </a:r>
        </a:p>
      </xdr:txBody>
    </xdr:sp>
    <xdr:clientData/>
  </xdr:twoCellAnchor>
  <xdr:twoCellAnchor>
    <xdr:from>
      <xdr:col>4</xdr:col>
      <xdr:colOff>243840</xdr:colOff>
      <xdr:row>25</xdr:row>
      <xdr:rowOff>111494</xdr:rowOff>
    </xdr:from>
    <xdr:to>
      <xdr:col>5</xdr:col>
      <xdr:colOff>893490</xdr:colOff>
      <xdr:row>26</xdr:row>
      <xdr:rowOff>165794</xdr:rowOff>
    </xdr:to>
    <xdr:sp macro="" textlink="">
      <xdr:nvSpPr>
        <xdr:cNvPr id="36" name="Rechteck 35">
          <a:extLst>
            <a:ext uri="{FF2B5EF4-FFF2-40B4-BE49-F238E27FC236}">
              <a16:creationId xmlns:a16="http://schemas.microsoft.com/office/drawing/2014/main" id="{A7769B0D-6A1A-44DC-BE24-F2DCACE69FE7}"/>
            </a:ext>
          </a:extLst>
        </xdr:cNvPr>
        <xdr:cNvSpPr/>
      </xdr:nvSpPr>
      <xdr:spPr>
        <a:xfrm>
          <a:off x="5092065" y="4931144"/>
          <a:ext cx="1887900" cy="244800"/>
        </a:xfrm>
        <a:prstGeom prst="rect">
          <a:avLst/>
        </a:prstGeom>
        <a:solidFill>
          <a:srgbClr val="0A4669"/>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r>
            <a:rPr lang="de-AT" sz="1000">
              <a:solidFill>
                <a:schemeClr val="bg1"/>
              </a:solidFill>
              <a:latin typeface="PP Pangram Sans Semibold" panose="00000705000000000000" pitchFamily="2" charset="0"/>
            </a:rPr>
            <a:t>Commodity cost base</a:t>
          </a:r>
        </a:p>
      </xdr:txBody>
    </xdr:sp>
    <xdr:clientData/>
  </xdr:twoCellAnchor>
  <xdr:twoCellAnchor>
    <xdr:from>
      <xdr:col>6</xdr:col>
      <xdr:colOff>19066</xdr:colOff>
      <xdr:row>29</xdr:row>
      <xdr:rowOff>60061</xdr:rowOff>
    </xdr:from>
    <xdr:to>
      <xdr:col>6</xdr:col>
      <xdr:colOff>556252</xdr:colOff>
      <xdr:row>30</xdr:row>
      <xdr:rowOff>114361</xdr:rowOff>
    </xdr:to>
    <xdr:sp macro="" textlink="$AF$39">
      <xdr:nvSpPr>
        <xdr:cNvPr id="37" name="Rechteck 36">
          <a:extLst>
            <a:ext uri="{FF2B5EF4-FFF2-40B4-BE49-F238E27FC236}">
              <a16:creationId xmlns:a16="http://schemas.microsoft.com/office/drawing/2014/main" id="{138BE0E7-767A-4BCA-99B1-6C03CDDDE5EF}"/>
            </a:ext>
          </a:extLst>
        </xdr:cNvPr>
        <xdr:cNvSpPr/>
      </xdr:nvSpPr>
      <xdr:spPr>
        <a:xfrm>
          <a:off x="7315216" y="5641711"/>
          <a:ext cx="537186" cy="244800"/>
        </a:xfrm>
        <a:prstGeom prst="rect">
          <a:avLst/>
        </a:prstGeom>
        <a:solidFill>
          <a:schemeClr val="bg1">
            <a:lumMod val="85000"/>
          </a:schemeClr>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marL="0" indent="0" algn="ctr" defTabSz="144000" rtl="0" eaLnBrk="1" latinLnBrk="0" hangingPunct="1"/>
          <a:fld id="{25DE2645-9791-4462-AF1B-6CCEA9161CC5}" type="TxLink">
            <a:rPr lang="en-US" sz="1100" b="0" i="0" u="none" strike="noStrike" kern="1200">
              <a:solidFill>
                <a:schemeClr val="bg1">
                  <a:lumMod val="50000"/>
                </a:schemeClr>
              </a:solidFill>
              <a:latin typeface="Calibri"/>
              <a:ea typeface="Calibri"/>
              <a:cs typeface="Calibri"/>
            </a:rPr>
            <a:pPr marL="0" indent="0" algn="ctr" defTabSz="144000" rtl="0" eaLnBrk="1" latinLnBrk="0" hangingPunct="1"/>
            <a:t>24,6</a:t>
          </a:fld>
          <a:endParaRPr lang="de-AT" sz="1100" b="0" i="0" u="none" strike="noStrike" kern="1200">
            <a:solidFill>
              <a:schemeClr val="bg1">
                <a:lumMod val="50000"/>
              </a:schemeClr>
            </a:solidFill>
            <a:latin typeface="Calibri"/>
            <a:ea typeface="Calibri"/>
            <a:cs typeface="Calibri"/>
          </a:endParaRPr>
        </a:p>
      </xdr:txBody>
    </xdr:sp>
    <xdr:clientData/>
  </xdr:twoCellAnchor>
  <xdr:twoCellAnchor>
    <xdr:from>
      <xdr:col>6</xdr:col>
      <xdr:colOff>19066</xdr:colOff>
      <xdr:row>25</xdr:row>
      <xdr:rowOff>111494</xdr:rowOff>
    </xdr:from>
    <xdr:to>
      <xdr:col>6</xdr:col>
      <xdr:colOff>556252</xdr:colOff>
      <xdr:row>26</xdr:row>
      <xdr:rowOff>165794</xdr:rowOff>
    </xdr:to>
    <xdr:sp macro="" textlink="$AF$33">
      <xdr:nvSpPr>
        <xdr:cNvPr id="38" name="Rechteck 37">
          <a:extLst>
            <a:ext uri="{FF2B5EF4-FFF2-40B4-BE49-F238E27FC236}">
              <a16:creationId xmlns:a16="http://schemas.microsoft.com/office/drawing/2014/main" id="{B129ABE2-D636-41E9-AF76-EA56F32633C6}"/>
            </a:ext>
          </a:extLst>
        </xdr:cNvPr>
        <xdr:cNvSpPr/>
      </xdr:nvSpPr>
      <xdr:spPr>
        <a:xfrm>
          <a:off x="7315216" y="4931144"/>
          <a:ext cx="537186" cy="244800"/>
        </a:xfrm>
        <a:prstGeom prst="rect">
          <a:avLst/>
        </a:prstGeom>
        <a:solidFill>
          <a:schemeClr val="bg1">
            <a:lumMod val="85000"/>
          </a:schemeClr>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p>
          <a:pPr marL="0" indent="0" algn="ctr"/>
          <a:fld id="{ED871E3A-278C-433F-9757-877F488DF348}" type="TxLink">
            <a:rPr lang="en-US" sz="1100" b="0" i="0" u="none" strike="noStrike">
              <a:solidFill>
                <a:schemeClr val="bg1">
                  <a:lumMod val="50000"/>
                </a:schemeClr>
              </a:solidFill>
              <a:latin typeface="Calibri"/>
              <a:ea typeface="+mn-ea"/>
              <a:cs typeface="Calibri"/>
            </a:rPr>
            <a:pPr marL="0" indent="0" algn="ctr"/>
            <a:t>17,2</a:t>
          </a:fld>
          <a:endParaRPr lang="en-US" sz="1100" b="0" i="0" u="none" strike="noStrike">
            <a:solidFill>
              <a:schemeClr val="bg1">
                <a:lumMod val="50000"/>
              </a:schemeClr>
            </a:solidFill>
            <a:latin typeface="Calibri"/>
            <a:ea typeface="+mn-ea"/>
            <a:cs typeface="Calibri"/>
          </a:endParaRPr>
        </a:p>
      </xdr:txBody>
    </xdr:sp>
    <xdr:clientData/>
  </xdr:twoCellAnchor>
  <xdr:twoCellAnchor>
    <xdr:from>
      <xdr:col>4</xdr:col>
      <xdr:colOff>245744</xdr:colOff>
      <xdr:row>31</xdr:row>
      <xdr:rowOff>174905</xdr:rowOff>
    </xdr:from>
    <xdr:to>
      <xdr:col>5</xdr:col>
      <xdr:colOff>895394</xdr:colOff>
      <xdr:row>33</xdr:row>
      <xdr:rowOff>27499</xdr:rowOff>
    </xdr:to>
    <xdr:sp macro="" textlink="">
      <xdr:nvSpPr>
        <xdr:cNvPr id="39" name="Rechteck 38">
          <a:extLst>
            <a:ext uri="{FF2B5EF4-FFF2-40B4-BE49-F238E27FC236}">
              <a16:creationId xmlns:a16="http://schemas.microsoft.com/office/drawing/2014/main" id="{A076CA24-696D-4924-ACAB-3D8428823546}"/>
            </a:ext>
          </a:extLst>
        </xdr:cNvPr>
        <xdr:cNvSpPr/>
      </xdr:nvSpPr>
      <xdr:spPr>
        <a:xfrm>
          <a:off x="5093969" y="6137555"/>
          <a:ext cx="1887900" cy="243119"/>
        </a:xfrm>
        <a:prstGeom prst="rect">
          <a:avLst/>
        </a:prstGeom>
        <a:solidFill>
          <a:srgbClr val="0A4669"/>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r>
            <a:rPr lang="de-AT" sz="1000">
              <a:solidFill>
                <a:schemeClr val="bg1"/>
              </a:solidFill>
              <a:latin typeface="PP Pangram Sans Semibold" panose="00000705000000000000" pitchFamily="2" charset="0"/>
            </a:rPr>
            <a:t>Eff. commodity </a:t>
          </a:r>
          <a:r>
            <a:rPr lang="de-AT" sz="1000" baseline="0">
              <a:solidFill>
                <a:schemeClr val="bg1"/>
              </a:solidFill>
              <a:latin typeface="PP Pangram Sans Semibold" panose="00000705000000000000" pitchFamily="2" charset="0"/>
            </a:rPr>
            <a:t> </a:t>
          </a:r>
          <a:r>
            <a:rPr lang="de-AT" sz="1000">
              <a:solidFill>
                <a:schemeClr val="bg1"/>
              </a:solidFill>
              <a:latin typeface="PP Pangram Sans Semibold" panose="00000705000000000000" pitchFamily="2" charset="0"/>
            </a:rPr>
            <a:t>revenues</a:t>
          </a:r>
        </a:p>
      </xdr:txBody>
    </xdr:sp>
    <xdr:clientData/>
  </xdr:twoCellAnchor>
  <xdr:twoCellAnchor>
    <xdr:from>
      <xdr:col>6</xdr:col>
      <xdr:colOff>19066</xdr:colOff>
      <xdr:row>31</xdr:row>
      <xdr:rowOff>174905</xdr:rowOff>
    </xdr:from>
    <xdr:to>
      <xdr:col>6</xdr:col>
      <xdr:colOff>556252</xdr:colOff>
      <xdr:row>33</xdr:row>
      <xdr:rowOff>27499</xdr:rowOff>
    </xdr:to>
    <xdr:sp macro="" textlink="$AF$41">
      <xdr:nvSpPr>
        <xdr:cNvPr id="40" name="Rechteck 39">
          <a:extLst>
            <a:ext uri="{FF2B5EF4-FFF2-40B4-BE49-F238E27FC236}">
              <a16:creationId xmlns:a16="http://schemas.microsoft.com/office/drawing/2014/main" id="{6FA61F6E-65D6-469C-8038-9AD39E883930}"/>
            </a:ext>
          </a:extLst>
        </xdr:cNvPr>
        <xdr:cNvSpPr/>
      </xdr:nvSpPr>
      <xdr:spPr>
        <a:xfrm>
          <a:off x="7315216" y="6137555"/>
          <a:ext cx="537186" cy="243119"/>
        </a:xfrm>
        <a:prstGeom prst="rect">
          <a:avLst/>
        </a:prstGeom>
        <a:solidFill>
          <a:srgbClr val="FE6D73"/>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marL="0" indent="0" algn="ctr" defTabSz="144000" rtl="0" eaLnBrk="1" latinLnBrk="0" hangingPunct="1"/>
          <a:fld id="{52477C7A-7555-4E8B-BCAF-CA1D6F0A7A31}" type="TxLink">
            <a:rPr lang="en-US" sz="1100" b="1" i="0" u="none" strike="noStrike" kern="1200">
              <a:solidFill>
                <a:schemeClr val="bg1"/>
              </a:solidFill>
              <a:latin typeface="Calibri"/>
              <a:ea typeface="Calibri"/>
              <a:cs typeface="Calibri"/>
            </a:rPr>
            <a:pPr marL="0" indent="0" algn="ctr" defTabSz="144000" rtl="0" eaLnBrk="1" latinLnBrk="0" hangingPunct="1"/>
            <a:t>17,2</a:t>
          </a:fld>
          <a:endParaRPr lang="de-AT" sz="1100" b="1" i="0" u="none" strike="noStrike" kern="1200">
            <a:solidFill>
              <a:schemeClr val="bg1"/>
            </a:solidFill>
            <a:latin typeface="Calibri"/>
            <a:ea typeface="Calibri"/>
            <a:cs typeface="Calibri"/>
          </a:endParaRPr>
        </a:p>
      </xdr:txBody>
    </xdr:sp>
    <xdr:clientData/>
  </xdr:twoCellAnchor>
  <xdr:twoCellAnchor>
    <xdr:from>
      <xdr:col>6</xdr:col>
      <xdr:colOff>22876</xdr:colOff>
      <xdr:row>24</xdr:row>
      <xdr:rowOff>17591</xdr:rowOff>
    </xdr:from>
    <xdr:to>
      <xdr:col>6</xdr:col>
      <xdr:colOff>558157</xdr:colOff>
      <xdr:row>25</xdr:row>
      <xdr:rowOff>71891</xdr:rowOff>
    </xdr:to>
    <xdr:sp macro="" textlink="">
      <xdr:nvSpPr>
        <xdr:cNvPr id="41" name="Rechteck 40">
          <a:extLst>
            <a:ext uri="{FF2B5EF4-FFF2-40B4-BE49-F238E27FC236}">
              <a16:creationId xmlns:a16="http://schemas.microsoft.com/office/drawing/2014/main" id="{6C096928-DD59-4918-86C8-D7B501D61A19}"/>
            </a:ext>
          </a:extLst>
        </xdr:cNvPr>
        <xdr:cNvSpPr/>
      </xdr:nvSpPr>
      <xdr:spPr>
        <a:xfrm>
          <a:off x="7319026" y="4646741"/>
          <a:ext cx="535281" cy="244800"/>
        </a:xfrm>
        <a:prstGeom prst="rect">
          <a:avLst/>
        </a:prstGeom>
        <a:solidFill>
          <a:srgbClr val="0A4669"/>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algn="ctr"/>
          <a:r>
            <a:rPr lang="de-AT" sz="1000">
              <a:solidFill>
                <a:schemeClr val="bg1"/>
              </a:solidFill>
              <a:latin typeface="PP Pangram Sans Semibold" panose="00000705000000000000" pitchFamily="2" charset="0"/>
            </a:rPr>
            <a:t>GCA</a:t>
          </a:r>
        </a:p>
      </xdr:txBody>
    </xdr:sp>
    <xdr:clientData/>
  </xdr:twoCellAnchor>
  <xdr:twoCellAnchor>
    <xdr:from>
      <xdr:col>6</xdr:col>
      <xdr:colOff>807801</xdr:colOff>
      <xdr:row>31</xdr:row>
      <xdr:rowOff>174905</xdr:rowOff>
    </xdr:from>
    <xdr:to>
      <xdr:col>7</xdr:col>
      <xdr:colOff>488113</xdr:colOff>
      <xdr:row>33</xdr:row>
      <xdr:rowOff>27499</xdr:rowOff>
    </xdr:to>
    <xdr:sp macro="" textlink="$AF$38">
      <xdr:nvSpPr>
        <xdr:cNvPr id="42" name="Rechteck 41">
          <a:extLst>
            <a:ext uri="{FF2B5EF4-FFF2-40B4-BE49-F238E27FC236}">
              <a16:creationId xmlns:a16="http://schemas.microsoft.com/office/drawing/2014/main" id="{F10E8F8F-7E8C-4B20-A09A-7366812EE2EE}"/>
            </a:ext>
          </a:extLst>
        </xdr:cNvPr>
        <xdr:cNvSpPr/>
      </xdr:nvSpPr>
      <xdr:spPr>
        <a:xfrm>
          <a:off x="8103951" y="6137555"/>
          <a:ext cx="518512" cy="243119"/>
        </a:xfrm>
        <a:prstGeom prst="rect">
          <a:avLst/>
        </a:prstGeom>
        <a:solidFill>
          <a:schemeClr val="accent1"/>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marL="0" indent="0" algn="ctr" defTabSz="144000" rtl="0" eaLnBrk="1" latinLnBrk="0" hangingPunct="1"/>
          <a:fld id="{CBA5D74E-C1D1-4F8E-B3E0-12D9D090F251}" type="TxLink">
            <a:rPr lang="en-US" sz="1100" b="1" i="0" u="none" strike="noStrike" kern="1200">
              <a:solidFill>
                <a:schemeClr val="bg1"/>
              </a:solidFill>
              <a:latin typeface="Calibri"/>
              <a:ea typeface="Calibri"/>
              <a:cs typeface="Calibri"/>
            </a:rPr>
            <a:pPr marL="0" indent="0" algn="ctr" defTabSz="144000" rtl="0" eaLnBrk="1" latinLnBrk="0" hangingPunct="1"/>
            <a:t>7,4</a:t>
          </a:fld>
          <a:endParaRPr lang="de-AT" sz="1100" b="1" i="0" u="none" strike="noStrike" kern="1200">
            <a:solidFill>
              <a:schemeClr val="bg1"/>
            </a:solidFill>
            <a:latin typeface="Calibri"/>
            <a:ea typeface="Calibri"/>
            <a:cs typeface="Calibri"/>
          </a:endParaRPr>
        </a:p>
      </xdr:txBody>
    </xdr:sp>
    <xdr:clientData/>
  </xdr:twoCellAnchor>
  <xdr:twoCellAnchor>
    <xdr:from>
      <xdr:col>6</xdr:col>
      <xdr:colOff>805896</xdr:colOff>
      <xdr:row>24</xdr:row>
      <xdr:rowOff>17591</xdr:rowOff>
    </xdr:from>
    <xdr:to>
      <xdr:col>7</xdr:col>
      <xdr:colOff>491923</xdr:colOff>
      <xdr:row>25</xdr:row>
      <xdr:rowOff>71891</xdr:rowOff>
    </xdr:to>
    <xdr:sp macro="" textlink="">
      <xdr:nvSpPr>
        <xdr:cNvPr id="43" name="Rechteck 42">
          <a:extLst>
            <a:ext uri="{FF2B5EF4-FFF2-40B4-BE49-F238E27FC236}">
              <a16:creationId xmlns:a16="http://schemas.microsoft.com/office/drawing/2014/main" id="{E56C8280-66D9-4F4D-80B0-211001D7080C}"/>
            </a:ext>
          </a:extLst>
        </xdr:cNvPr>
        <xdr:cNvSpPr/>
      </xdr:nvSpPr>
      <xdr:spPr>
        <a:xfrm>
          <a:off x="8102046" y="4646741"/>
          <a:ext cx="524227" cy="244800"/>
        </a:xfrm>
        <a:prstGeom prst="rect">
          <a:avLst/>
        </a:prstGeom>
        <a:solidFill>
          <a:srgbClr val="95B3D7"/>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algn="ctr"/>
          <a:r>
            <a:rPr lang="de-AT" sz="1000">
              <a:solidFill>
                <a:schemeClr val="bg1"/>
              </a:solidFill>
              <a:latin typeface="PP Pangram Sans Semibold" panose="00000705000000000000" pitchFamily="2" charset="0"/>
            </a:rPr>
            <a:t>ITC</a:t>
          </a:r>
        </a:p>
      </xdr:txBody>
    </xdr:sp>
    <xdr:clientData/>
  </xdr:twoCellAnchor>
  <xdr:twoCellAnchor>
    <xdr:from>
      <xdr:col>4</xdr:col>
      <xdr:colOff>238125</xdr:colOff>
      <xdr:row>24</xdr:row>
      <xdr:rowOff>25211</xdr:rowOff>
    </xdr:from>
    <xdr:to>
      <xdr:col>5</xdr:col>
      <xdr:colOff>802534</xdr:colOff>
      <xdr:row>25</xdr:row>
      <xdr:rowOff>79511</xdr:rowOff>
    </xdr:to>
    <xdr:sp macro="" textlink="">
      <xdr:nvSpPr>
        <xdr:cNvPr id="44" name="Rechteck 43">
          <a:extLst>
            <a:ext uri="{FF2B5EF4-FFF2-40B4-BE49-F238E27FC236}">
              <a16:creationId xmlns:a16="http://schemas.microsoft.com/office/drawing/2014/main" id="{9B44A3C9-2F35-41C3-9772-A2C0CB5B030F}"/>
            </a:ext>
          </a:extLst>
        </xdr:cNvPr>
        <xdr:cNvSpPr/>
      </xdr:nvSpPr>
      <xdr:spPr>
        <a:xfrm>
          <a:off x="5086350" y="4654361"/>
          <a:ext cx="1802659" cy="244800"/>
        </a:xfrm>
        <a:prstGeom prst="rect">
          <a:avLst/>
        </a:prstGeom>
        <a:no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algn="r"/>
          <a:r>
            <a:rPr lang="de-AT" sz="1000" i="1">
              <a:solidFill>
                <a:schemeClr val="bg1">
                  <a:lumMod val="50000"/>
                </a:schemeClr>
              </a:solidFill>
              <a:latin typeface="PP Pangram Sans Medium" panose="00000605000000000000" pitchFamily="2" charset="0"/>
            </a:rPr>
            <a:t>[mio. EUR]</a:t>
          </a:r>
        </a:p>
      </xdr:txBody>
    </xdr:sp>
    <xdr:clientData/>
  </xdr:twoCellAnchor>
  <xdr:twoCellAnchor>
    <xdr:from>
      <xdr:col>7</xdr:col>
      <xdr:colOff>743471</xdr:colOff>
      <xdr:row>29</xdr:row>
      <xdr:rowOff>50537</xdr:rowOff>
    </xdr:from>
    <xdr:to>
      <xdr:col>8</xdr:col>
      <xdr:colOff>363806</xdr:colOff>
      <xdr:row>30</xdr:row>
      <xdr:rowOff>104837</xdr:rowOff>
    </xdr:to>
    <xdr:sp macro="" textlink="$AF$40">
      <xdr:nvSpPr>
        <xdr:cNvPr id="45" name="Rechteck 44">
          <a:extLst>
            <a:ext uri="{FF2B5EF4-FFF2-40B4-BE49-F238E27FC236}">
              <a16:creationId xmlns:a16="http://schemas.microsoft.com/office/drawing/2014/main" id="{BD21AA8C-17ED-42B7-B93C-37687920D85A}"/>
            </a:ext>
          </a:extLst>
        </xdr:cNvPr>
        <xdr:cNvSpPr/>
      </xdr:nvSpPr>
      <xdr:spPr>
        <a:xfrm>
          <a:off x="8877821" y="5632187"/>
          <a:ext cx="525210" cy="244800"/>
        </a:xfrm>
        <a:prstGeom prst="rect">
          <a:avLst/>
        </a:prstGeom>
        <a:solidFill>
          <a:schemeClr val="bg1">
            <a:lumMod val="85000"/>
          </a:schemeClr>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marL="0" indent="0" algn="ctr" defTabSz="144000" rtl="0" eaLnBrk="1" latinLnBrk="0" hangingPunct="1"/>
          <a:fld id="{2746DB31-E0D4-43A9-B5C4-FF33F3D361BF}" type="TxLink">
            <a:rPr lang="en-US" sz="1100" b="0" i="0" u="none" strike="noStrike" kern="1200">
              <a:solidFill>
                <a:schemeClr val="bg1">
                  <a:lumMod val="50000"/>
                </a:schemeClr>
              </a:solidFill>
              <a:latin typeface="Calibri"/>
              <a:ea typeface="Calibri"/>
              <a:cs typeface="Calibri"/>
            </a:rPr>
            <a:pPr marL="0" indent="0" algn="ctr" defTabSz="144000" rtl="0" eaLnBrk="1" latinLnBrk="0" hangingPunct="1"/>
            <a:t>8,6</a:t>
          </a:fld>
          <a:endParaRPr lang="de-AT" sz="1100" b="0" i="0" u="none" strike="noStrike" kern="1200">
            <a:solidFill>
              <a:schemeClr val="bg1">
                <a:lumMod val="50000"/>
              </a:schemeClr>
            </a:solidFill>
            <a:latin typeface="Calibri"/>
            <a:ea typeface="Calibri"/>
            <a:cs typeface="Calibri"/>
          </a:endParaRPr>
        </a:p>
      </xdr:txBody>
    </xdr:sp>
    <xdr:clientData/>
  </xdr:twoCellAnchor>
  <xdr:twoCellAnchor>
    <xdr:from>
      <xdr:col>7</xdr:col>
      <xdr:colOff>743471</xdr:colOff>
      <xdr:row>25</xdr:row>
      <xdr:rowOff>111494</xdr:rowOff>
    </xdr:from>
    <xdr:to>
      <xdr:col>8</xdr:col>
      <xdr:colOff>363806</xdr:colOff>
      <xdr:row>26</xdr:row>
      <xdr:rowOff>165794</xdr:rowOff>
    </xdr:to>
    <xdr:sp macro="" textlink="$AF$34">
      <xdr:nvSpPr>
        <xdr:cNvPr id="46" name="Rechteck 45">
          <a:extLst>
            <a:ext uri="{FF2B5EF4-FFF2-40B4-BE49-F238E27FC236}">
              <a16:creationId xmlns:a16="http://schemas.microsoft.com/office/drawing/2014/main" id="{BEBFC4C2-466A-44CF-94F3-4B772C47A2C2}"/>
            </a:ext>
          </a:extLst>
        </xdr:cNvPr>
        <xdr:cNvSpPr/>
      </xdr:nvSpPr>
      <xdr:spPr>
        <a:xfrm>
          <a:off x="8877821" y="4931144"/>
          <a:ext cx="525210" cy="244800"/>
        </a:xfrm>
        <a:prstGeom prst="rect">
          <a:avLst/>
        </a:prstGeom>
        <a:solidFill>
          <a:schemeClr val="bg1">
            <a:lumMod val="85000"/>
          </a:schemeClr>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marL="0" indent="0" algn="ctr" defTabSz="144000" rtl="0" eaLnBrk="1" latinLnBrk="0" hangingPunct="1"/>
          <a:fld id="{91AD846E-C77A-42EF-96E3-9C5828A85D81}" type="TxLink">
            <a:rPr lang="en-US" sz="1100" b="0" i="0" u="none" strike="noStrike" kern="1200">
              <a:solidFill>
                <a:schemeClr val="bg1">
                  <a:lumMod val="50000"/>
                </a:schemeClr>
              </a:solidFill>
              <a:latin typeface="Calibri"/>
              <a:ea typeface="+mn-ea"/>
              <a:cs typeface="Calibri"/>
            </a:rPr>
            <a:pPr marL="0" indent="0" algn="ctr" defTabSz="144000" rtl="0" eaLnBrk="1" latinLnBrk="0" hangingPunct="1"/>
            <a:t>16,0</a:t>
          </a:fld>
          <a:endParaRPr lang="de-AT" sz="1100" b="0" i="0" u="none" strike="noStrike" kern="1200">
            <a:solidFill>
              <a:schemeClr val="bg1">
                <a:lumMod val="50000"/>
              </a:schemeClr>
            </a:solidFill>
            <a:latin typeface="Calibri"/>
            <a:ea typeface="+mn-ea"/>
            <a:cs typeface="Calibri"/>
          </a:endParaRPr>
        </a:p>
      </xdr:txBody>
    </xdr:sp>
    <xdr:clientData/>
  </xdr:twoCellAnchor>
  <xdr:twoCellAnchor>
    <xdr:from>
      <xdr:col>7</xdr:col>
      <xdr:colOff>739661</xdr:colOff>
      <xdr:row>31</xdr:row>
      <xdr:rowOff>174905</xdr:rowOff>
    </xdr:from>
    <xdr:to>
      <xdr:col>8</xdr:col>
      <xdr:colOff>359996</xdr:colOff>
      <xdr:row>33</xdr:row>
      <xdr:rowOff>27499</xdr:rowOff>
    </xdr:to>
    <xdr:sp macro="" textlink="$AF$42">
      <xdr:nvSpPr>
        <xdr:cNvPr id="47" name="Rechteck 46">
          <a:extLst>
            <a:ext uri="{FF2B5EF4-FFF2-40B4-BE49-F238E27FC236}">
              <a16:creationId xmlns:a16="http://schemas.microsoft.com/office/drawing/2014/main" id="{D1E14B8C-9E6B-4ED6-9901-C6C15FEF633B}"/>
            </a:ext>
          </a:extLst>
        </xdr:cNvPr>
        <xdr:cNvSpPr/>
      </xdr:nvSpPr>
      <xdr:spPr>
        <a:xfrm>
          <a:off x="8874011" y="6137555"/>
          <a:ext cx="525210" cy="243119"/>
        </a:xfrm>
        <a:prstGeom prst="rect">
          <a:avLst/>
        </a:prstGeom>
        <a:solidFill>
          <a:srgbClr val="FE6D73"/>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marL="0" indent="0" algn="ctr" defTabSz="144000" rtl="0" eaLnBrk="1" latinLnBrk="0" hangingPunct="1"/>
          <a:fld id="{799811BD-34C3-46CD-BA65-563EBE8A9CA1}" type="TxLink">
            <a:rPr lang="en-US" sz="1100" b="1" i="0" u="none" strike="noStrike" kern="1200">
              <a:solidFill>
                <a:schemeClr val="bg1"/>
              </a:solidFill>
              <a:latin typeface="Calibri"/>
              <a:ea typeface="Calibri"/>
              <a:cs typeface="Calibri"/>
            </a:rPr>
            <a:pPr marL="0" indent="0" algn="ctr" defTabSz="144000" rtl="0" eaLnBrk="1" latinLnBrk="0" hangingPunct="1"/>
            <a:t>16,0</a:t>
          </a:fld>
          <a:endParaRPr lang="de-AT" sz="1100" b="1" i="0" u="none" strike="noStrike" kern="1200">
            <a:solidFill>
              <a:schemeClr val="bg1"/>
            </a:solidFill>
            <a:latin typeface="Calibri"/>
            <a:ea typeface="Calibri"/>
            <a:cs typeface="Calibri"/>
          </a:endParaRPr>
        </a:p>
      </xdr:txBody>
    </xdr:sp>
    <xdr:clientData/>
  </xdr:twoCellAnchor>
  <xdr:twoCellAnchor>
    <xdr:from>
      <xdr:col>7</xdr:col>
      <xdr:colOff>739661</xdr:colOff>
      <xdr:row>24</xdr:row>
      <xdr:rowOff>17591</xdr:rowOff>
    </xdr:from>
    <xdr:to>
      <xdr:col>8</xdr:col>
      <xdr:colOff>359996</xdr:colOff>
      <xdr:row>25</xdr:row>
      <xdr:rowOff>71891</xdr:rowOff>
    </xdr:to>
    <xdr:sp macro="" textlink="">
      <xdr:nvSpPr>
        <xdr:cNvPr id="48" name="Rechteck 47">
          <a:extLst>
            <a:ext uri="{FF2B5EF4-FFF2-40B4-BE49-F238E27FC236}">
              <a16:creationId xmlns:a16="http://schemas.microsoft.com/office/drawing/2014/main" id="{73BCA071-5A44-421A-938C-64044FEFA7BE}"/>
            </a:ext>
          </a:extLst>
        </xdr:cNvPr>
        <xdr:cNvSpPr/>
      </xdr:nvSpPr>
      <xdr:spPr>
        <a:xfrm>
          <a:off x="8874011" y="4646741"/>
          <a:ext cx="525210" cy="244800"/>
        </a:xfrm>
        <a:prstGeom prst="rect">
          <a:avLst/>
        </a:prstGeom>
        <a:solidFill>
          <a:srgbClr val="0A4669"/>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algn="ctr"/>
          <a:r>
            <a:rPr lang="de-AT" sz="1000">
              <a:solidFill>
                <a:schemeClr val="bg1"/>
              </a:solidFill>
              <a:latin typeface="PP Pangram Sans Semibold" panose="00000705000000000000" pitchFamily="2" charset="0"/>
            </a:rPr>
            <a:t>TAG</a:t>
          </a:r>
        </a:p>
      </xdr:txBody>
    </xdr:sp>
    <xdr:clientData/>
  </xdr:twoCellAnchor>
  <xdr:twoCellAnchor>
    <xdr:from>
      <xdr:col>4</xdr:col>
      <xdr:colOff>247650</xdr:colOff>
      <xdr:row>35</xdr:row>
      <xdr:rowOff>96159</xdr:rowOff>
    </xdr:from>
    <xdr:to>
      <xdr:col>5</xdr:col>
      <xdr:colOff>282879</xdr:colOff>
      <xdr:row>36</xdr:row>
      <xdr:rowOff>150459</xdr:rowOff>
    </xdr:to>
    <xdr:sp macro="" textlink="">
      <xdr:nvSpPr>
        <xdr:cNvPr id="49" name="Rechteck 48">
          <a:extLst>
            <a:ext uri="{FF2B5EF4-FFF2-40B4-BE49-F238E27FC236}">
              <a16:creationId xmlns:a16="http://schemas.microsoft.com/office/drawing/2014/main" id="{5FE2CD1D-3A87-451C-BEAE-038F37961139}"/>
            </a:ext>
          </a:extLst>
        </xdr:cNvPr>
        <xdr:cNvSpPr/>
      </xdr:nvSpPr>
      <xdr:spPr>
        <a:xfrm>
          <a:off x="5095875" y="6830334"/>
          <a:ext cx="1273479" cy="244800"/>
        </a:xfrm>
        <a:prstGeom prst="rect">
          <a:avLst/>
        </a:prstGeom>
        <a:solidFill>
          <a:srgbClr val="0A4669"/>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r>
            <a:rPr lang="de-AT" sz="1000" kern="1200">
              <a:solidFill>
                <a:schemeClr val="bg1"/>
              </a:solidFill>
              <a:latin typeface="PP Pangram Sans Semibold" panose="00000705000000000000" pitchFamily="2" charset="0"/>
              <a:ea typeface="+mn-ea"/>
              <a:cs typeface="+mn-cs"/>
            </a:rPr>
            <a:t>Com</a:t>
          </a:r>
          <a:r>
            <a:rPr lang="de-AT" sz="1000">
              <a:solidFill>
                <a:schemeClr val="bg1"/>
              </a:solidFill>
              <a:latin typeface="PP Pangram Sans Semibold" panose="00000705000000000000" pitchFamily="2" charset="0"/>
            </a:rPr>
            <a:t>. E/X split</a:t>
          </a:r>
        </a:p>
      </xdr:txBody>
    </xdr:sp>
    <xdr:clientData/>
  </xdr:twoCellAnchor>
  <xdr:twoCellAnchor>
    <xdr:from>
      <xdr:col>5</xdr:col>
      <xdr:colOff>339587</xdr:colOff>
      <xdr:row>35</xdr:row>
      <xdr:rowOff>96159</xdr:rowOff>
    </xdr:from>
    <xdr:to>
      <xdr:col>5</xdr:col>
      <xdr:colOff>892105</xdr:colOff>
      <xdr:row>36</xdr:row>
      <xdr:rowOff>150459</xdr:rowOff>
    </xdr:to>
    <xdr:sp macro="" textlink="$C$28">
      <xdr:nvSpPr>
        <xdr:cNvPr id="50" name="Rechteck 49">
          <a:extLst>
            <a:ext uri="{FF2B5EF4-FFF2-40B4-BE49-F238E27FC236}">
              <a16:creationId xmlns:a16="http://schemas.microsoft.com/office/drawing/2014/main" id="{6B1F8885-7E1E-49A7-B8F4-A26F56B2781E}"/>
            </a:ext>
          </a:extLst>
        </xdr:cNvPr>
        <xdr:cNvSpPr/>
      </xdr:nvSpPr>
      <xdr:spPr>
        <a:xfrm>
          <a:off x="6426062" y="6830334"/>
          <a:ext cx="552518" cy="244800"/>
        </a:xfrm>
        <a:prstGeom prst="rect">
          <a:avLst/>
        </a:prstGeom>
        <a:solidFill>
          <a:srgbClr val="0A4669"/>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marL="0" indent="0" algn="ctr" defTabSz="144000" rtl="0" eaLnBrk="1" latinLnBrk="0" hangingPunct="1"/>
          <a:fld id="{52CA7CA1-FDD1-41AC-B23A-0A424A2D2EA3}" type="TxLink">
            <a:rPr lang="en-US" sz="1100" b="1" i="0" u="none" strike="noStrike" kern="1200">
              <a:solidFill>
                <a:schemeClr val="bg1"/>
              </a:solidFill>
              <a:latin typeface="Calibri"/>
              <a:ea typeface="Calibri"/>
              <a:cs typeface="Calibri"/>
            </a:rPr>
            <a:pPr marL="0" indent="0" algn="ctr" defTabSz="144000" rtl="0" eaLnBrk="1" latinLnBrk="0" hangingPunct="1"/>
            <a:t>25,0%</a:t>
          </a:fld>
          <a:endParaRPr lang="de-AT" sz="1100" b="1" i="0" u="none" strike="noStrike" kern="1200">
            <a:solidFill>
              <a:schemeClr val="bg1"/>
            </a:solidFill>
            <a:latin typeface="Calibri"/>
            <a:ea typeface="Calibri"/>
            <a:cs typeface="Calibri"/>
          </a:endParaRPr>
        </a:p>
      </xdr:txBody>
    </xdr:sp>
    <xdr:clientData/>
  </xdr:twoCellAnchor>
  <xdr:twoCellAnchor>
    <xdr:from>
      <xdr:col>6</xdr:col>
      <xdr:colOff>262842</xdr:colOff>
      <xdr:row>35</xdr:row>
      <xdr:rowOff>96159</xdr:rowOff>
    </xdr:from>
    <xdr:to>
      <xdr:col>7</xdr:col>
      <xdr:colOff>679360</xdr:colOff>
      <xdr:row>36</xdr:row>
      <xdr:rowOff>150459</xdr:rowOff>
    </xdr:to>
    <xdr:sp macro="" textlink="">
      <xdr:nvSpPr>
        <xdr:cNvPr id="51" name="Rechteck 50">
          <a:extLst>
            <a:ext uri="{FF2B5EF4-FFF2-40B4-BE49-F238E27FC236}">
              <a16:creationId xmlns:a16="http://schemas.microsoft.com/office/drawing/2014/main" id="{FCDFE7FE-9B8D-409B-8E20-BC6DFD8E1C91}"/>
            </a:ext>
          </a:extLst>
        </xdr:cNvPr>
        <xdr:cNvSpPr/>
      </xdr:nvSpPr>
      <xdr:spPr>
        <a:xfrm>
          <a:off x="7558992" y="6830334"/>
          <a:ext cx="1254718" cy="244800"/>
        </a:xfrm>
        <a:prstGeom prst="rect">
          <a:avLst/>
        </a:prstGeom>
        <a:solidFill>
          <a:srgbClr val="0A4669"/>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r>
            <a:rPr lang="de-AT" sz="1000">
              <a:solidFill>
                <a:schemeClr val="bg1"/>
              </a:solidFill>
              <a:latin typeface="PP Pangram Sans Semibold" panose="00000705000000000000" pitchFamily="2" charset="0"/>
            </a:rPr>
            <a:t>CAA commodity</a:t>
          </a:r>
        </a:p>
      </xdr:txBody>
    </xdr:sp>
    <xdr:clientData/>
  </xdr:twoCellAnchor>
  <xdr:twoCellAnchor>
    <xdr:from>
      <xdr:col>7</xdr:col>
      <xdr:colOff>723111</xdr:colOff>
      <xdr:row>35</xdr:row>
      <xdr:rowOff>96159</xdr:rowOff>
    </xdr:from>
    <xdr:to>
      <xdr:col>8</xdr:col>
      <xdr:colOff>359996</xdr:colOff>
      <xdr:row>36</xdr:row>
      <xdr:rowOff>150459</xdr:rowOff>
    </xdr:to>
    <xdr:sp macro="" textlink="$C$25">
      <xdr:nvSpPr>
        <xdr:cNvPr id="52" name="Rechteck 51">
          <a:extLst>
            <a:ext uri="{FF2B5EF4-FFF2-40B4-BE49-F238E27FC236}">
              <a16:creationId xmlns:a16="http://schemas.microsoft.com/office/drawing/2014/main" id="{A24543C8-A472-4913-96F3-D3500678B77B}"/>
            </a:ext>
          </a:extLst>
        </xdr:cNvPr>
        <xdr:cNvSpPr/>
      </xdr:nvSpPr>
      <xdr:spPr>
        <a:xfrm>
          <a:off x="8857461" y="6830334"/>
          <a:ext cx="541760" cy="244800"/>
        </a:xfrm>
        <a:prstGeom prst="rect">
          <a:avLst/>
        </a:prstGeom>
        <a:solidFill>
          <a:srgbClr val="0A4669"/>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marL="0" indent="0" algn="ctr" defTabSz="144000" rtl="0" eaLnBrk="1" latinLnBrk="0" hangingPunct="1"/>
          <a:fld id="{1507DC54-7C16-4241-82E5-5C2DF5A8511E}" type="TxLink">
            <a:rPr lang="en-US" sz="1100" b="1" i="0" u="none" strike="noStrike" kern="1200">
              <a:solidFill>
                <a:schemeClr val="bg1"/>
              </a:solidFill>
              <a:latin typeface="Calibri"/>
              <a:ea typeface="Calibri"/>
              <a:cs typeface="Calibri"/>
            </a:rPr>
            <a:pPr marL="0" indent="0" algn="ctr" defTabSz="144000" rtl="0" eaLnBrk="1" latinLnBrk="0" hangingPunct="1"/>
            <a:t>6,33%</a:t>
          </a:fld>
          <a:endParaRPr lang="de-AT" sz="1100" b="1" i="0" u="none" strike="noStrike" kern="1200">
            <a:solidFill>
              <a:schemeClr val="bg1"/>
            </a:solidFill>
            <a:latin typeface="Calibri"/>
            <a:ea typeface="Calibri"/>
            <a:cs typeface="Calibri"/>
          </a:endParaRPr>
        </a:p>
      </xdr:txBody>
    </xdr:sp>
    <xdr:clientData/>
  </xdr:twoCellAnchor>
  <xdr:twoCellAnchor>
    <xdr:from>
      <xdr:col>4</xdr:col>
      <xdr:colOff>243840</xdr:colOff>
      <xdr:row>27</xdr:row>
      <xdr:rowOff>21997</xdr:rowOff>
    </xdr:from>
    <xdr:to>
      <xdr:col>5</xdr:col>
      <xdr:colOff>893490</xdr:colOff>
      <xdr:row>28</xdr:row>
      <xdr:rowOff>76297</xdr:rowOff>
    </xdr:to>
    <xdr:sp macro="" textlink="">
      <xdr:nvSpPr>
        <xdr:cNvPr id="53" name="Rechteck 52">
          <a:extLst>
            <a:ext uri="{FF2B5EF4-FFF2-40B4-BE49-F238E27FC236}">
              <a16:creationId xmlns:a16="http://schemas.microsoft.com/office/drawing/2014/main" id="{C4E90F48-3671-4601-A34A-5FC7FBA640BB}"/>
            </a:ext>
          </a:extLst>
        </xdr:cNvPr>
        <xdr:cNvSpPr/>
      </xdr:nvSpPr>
      <xdr:spPr>
        <a:xfrm>
          <a:off x="5092065" y="5222647"/>
          <a:ext cx="1887900" cy="244800"/>
        </a:xfrm>
        <a:prstGeom prst="rect">
          <a:avLst/>
        </a:prstGeom>
        <a:solidFill>
          <a:srgbClr val="0A4669"/>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r>
            <a:rPr lang="de-AT" sz="1000">
              <a:solidFill>
                <a:schemeClr val="bg1"/>
              </a:solidFill>
              <a:latin typeface="PP Pangram Sans Semibold" panose="00000705000000000000" pitchFamily="2" charset="0"/>
            </a:rPr>
            <a:t>Planned commodity rev.</a:t>
          </a:r>
        </a:p>
      </xdr:txBody>
    </xdr:sp>
    <xdr:clientData/>
  </xdr:twoCellAnchor>
  <xdr:twoCellAnchor>
    <xdr:from>
      <xdr:col>6</xdr:col>
      <xdr:colOff>22876</xdr:colOff>
      <xdr:row>27</xdr:row>
      <xdr:rowOff>21997</xdr:rowOff>
    </xdr:from>
    <xdr:to>
      <xdr:col>6</xdr:col>
      <xdr:colOff>558157</xdr:colOff>
      <xdr:row>28</xdr:row>
      <xdr:rowOff>76297</xdr:rowOff>
    </xdr:to>
    <xdr:sp macro="" textlink="$AF$35">
      <xdr:nvSpPr>
        <xdr:cNvPr id="54" name="Rechteck 53">
          <a:extLst>
            <a:ext uri="{FF2B5EF4-FFF2-40B4-BE49-F238E27FC236}">
              <a16:creationId xmlns:a16="http://schemas.microsoft.com/office/drawing/2014/main" id="{C83EC1E4-F2F6-4662-8601-BDD931AB56C3}"/>
            </a:ext>
          </a:extLst>
        </xdr:cNvPr>
        <xdr:cNvSpPr/>
      </xdr:nvSpPr>
      <xdr:spPr>
        <a:xfrm>
          <a:off x="7319026" y="5222647"/>
          <a:ext cx="535281" cy="244800"/>
        </a:xfrm>
        <a:prstGeom prst="rect">
          <a:avLst/>
        </a:prstGeom>
        <a:solidFill>
          <a:schemeClr val="bg1">
            <a:lumMod val="85000"/>
          </a:schemeClr>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marL="0" indent="0" algn="ctr" defTabSz="144000" rtl="0" eaLnBrk="1" latinLnBrk="0" hangingPunct="1"/>
          <a:fld id="{7BED94B2-B65F-49FD-B090-812BE21A3CAA}" type="TxLink">
            <a:rPr lang="en-US" sz="1100" b="0" i="0" u="none" strike="noStrike">
              <a:solidFill>
                <a:schemeClr val="bg1">
                  <a:lumMod val="50000"/>
                </a:schemeClr>
              </a:solidFill>
              <a:latin typeface="Calibri"/>
              <a:ea typeface="+mn-ea"/>
              <a:cs typeface="Calibri"/>
            </a:rPr>
            <a:pPr marL="0" indent="0" algn="ctr" defTabSz="144000" rtl="0" eaLnBrk="1" latinLnBrk="0" hangingPunct="1"/>
            <a:t>24,6</a:t>
          </a:fld>
          <a:endParaRPr lang="de-AT" sz="1100" b="0" i="0" u="none" strike="noStrike">
            <a:solidFill>
              <a:schemeClr val="bg1">
                <a:lumMod val="50000"/>
              </a:schemeClr>
            </a:solidFill>
            <a:latin typeface="Calibri"/>
            <a:ea typeface="+mn-ea"/>
            <a:cs typeface="Calibri"/>
          </a:endParaRPr>
        </a:p>
      </xdr:txBody>
    </xdr:sp>
    <xdr:clientData/>
  </xdr:twoCellAnchor>
  <xdr:twoCellAnchor>
    <xdr:from>
      <xdr:col>6</xdr:col>
      <xdr:colOff>809706</xdr:colOff>
      <xdr:row>27</xdr:row>
      <xdr:rowOff>21997</xdr:rowOff>
    </xdr:from>
    <xdr:to>
      <xdr:col>7</xdr:col>
      <xdr:colOff>488113</xdr:colOff>
      <xdr:row>28</xdr:row>
      <xdr:rowOff>76297</xdr:rowOff>
    </xdr:to>
    <xdr:sp macro="" textlink="$AF$37">
      <xdr:nvSpPr>
        <xdr:cNvPr id="55" name="Rechteck 54">
          <a:extLst>
            <a:ext uri="{FF2B5EF4-FFF2-40B4-BE49-F238E27FC236}">
              <a16:creationId xmlns:a16="http://schemas.microsoft.com/office/drawing/2014/main" id="{FD6E6223-EC7D-4CCF-A306-0765D6599CE6}"/>
            </a:ext>
          </a:extLst>
        </xdr:cNvPr>
        <xdr:cNvSpPr/>
      </xdr:nvSpPr>
      <xdr:spPr>
        <a:xfrm>
          <a:off x="8105856" y="5222647"/>
          <a:ext cx="516607" cy="244800"/>
        </a:xfrm>
        <a:prstGeom prst="rect">
          <a:avLst/>
        </a:prstGeom>
        <a:solidFill>
          <a:srgbClr val="DCE6F2"/>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marL="0" indent="0" algn="ctr" defTabSz="144000" rtl="0" eaLnBrk="1" latinLnBrk="0" hangingPunct="1"/>
          <a:fld id="{04804986-71FB-4BC8-BADF-151023138F81}" type="TxLink">
            <a:rPr lang="en-US" sz="1100" b="0" i="0" u="none" strike="noStrike" kern="1200">
              <a:solidFill>
                <a:schemeClr val="bg1">
                  <a:lumMod val="50000"/>
                </a:schemeClr>
              </a:solidFill>
              <a:latin typeface="Calibri"/>
              <a:ea typeface="Calibri"/>
              <a:cs typeface="Calibri"/>
            </a:rPr>
            <a:pPr marL="0" indent="0" algn="ctr" defTabSz="144000" rtl="0" eaLnBrk="1" latinLnBrk="0" hangingPunct="1"/>
            <a:t>7,4</a:t>
          </a:fld>
          <a:endParaRPr lang="de-AT" sz="1100" b="0" i="0" u="none" strike="noStrike" kern="1200">
            <a:solidFill>
              <a:schemeClr val="bg1">
                <a:lumMod val="50000"/>
              </a:schemeClr>
            </a:solidFill>
            <a:latin typeface="Calibri"/>
            <a:ea typeface="Calibri"/>
            <a:cs typeface="Calibri"/>
          </a:endParaRPr>
        </a:p>
      </xdr:txBody>
    </xdr:sp>
    <xdr:clientData/>
  </xdr:twoCellAnchor>
  <xdr:twoCellAnchor>
    <xdr:from>
      <xdr:col>7</xdr:col>
      <xdr:colOff>739661</xdr:colOff>
      <xdr:row>27</xdr:row>
      <xdr:rowOff>21997</xdr:rowOff>
    </xdr:from>
    <xdr:to>
      <xdr:col>8</xdr:col>
      <xdr:colOff>359996</xdr:colOff>
      <xdr:row>28</xdr:row>
      <xdr:rowOff>76297</xdr:rowOff>
    </xdr:to>
    <xdr:sp macro="" textlink="$AF$36">
      <xdr:nvSpPr>
        <xdr:cNvPr id="56" name="Rechteck 55">
          <a:extLst>
            <a:ext uri="{FF2B5EF4-FFF2-40B4-BE49-F238E27FC236}">
              <a16:creationId xmlns:a16="http://schemas.microsoft.com/office/drawing/2014/main" id="{941330C4-C1A4-48B1-B1FE-70152841221C}"/>
            </a:ext>
          </a:extLst>
        </xdr:cNvPr>
        <xdr:cNvSpPr/>
      </xdr:nvSpPr>
      <xdr:spPr>
        <a:xfrm>
          <a:off x="8874011" y="5222647"/>
          <a:ext cx="525210" cy="244800"/>
        </a:xfrm>
        <a:prstGeom prst="rect">
          <a:avLst/>
        </a:prstGeom>
        <a:solidFill>
          <a:schemeClr val="bg1">
            <a:lumMod val="85000"/>
          </a:schemeClr>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marL="0" indent="0" algn="ctr" defTabSz="144000" rtl="0" eaLnBrk="1" latinLnBrk="0" hangingPunct="1"/>
          <a:fld id="{612A8D8E-83ED-4AB7-AC95-B2B1A270A8FB}" type="TxLink">
            <a:rPr lang="en-US" sz="1100" b="0" i="0" u="none" strike="noStrike" kern="1200">
              <a:solidFill>
                <a:schemeClr val="bg1">
                  <a:lumMod val="50000"/>
                </a:schemeClr>
              </a:solidFill>
              <a:latin typeface="Calibri"/>
              <a:ea typeface="+mn-ea"/>
              <a:cs typeface="Calibri"/>
            </a:rPr>
            <a:pPr marL="0" indent="0" algn="ctr" defTabSz="144000" rtl="0" eaLnBrk="1" latinLnBrk="0" hangingPunct="1"/>
            <a:t>8,6</a:t>
          </a:fld>
          <a:endParaRPr lang="de-AT" sz="1100" b="0" i="0" u="none" strike="noStrike" kern="1200">
            <a:solidFill>
              <a:schemeClr val="bg1">
                <a:lumMod val="50000"/>
              </a:schemeClr>
            </a:solidFill>
            <a:latin typeface="Calibri"/>
            <a:ea typeface="+mn-ea"/>
            <a:cs typeface="Calibri"/>
          </a:endParaRPr>
        </a:p>
      </xdr:txBody>
    </xdr:sp>
    <xdr:clientData/>
  </xdr:twoCellAnchor>
  <xdr:twoCellAnchor>
    <xdr:from>
      <xdr:col>6</xdr:col>
      <xdr:colOff>556252</xdr:colOff>
      <xdr:row>26</xdr:row>
      <xdr:rowOff>43394</xdr:rowOff>
    </xdr:from>
    <xdr:to>
      <xdr:col>7</xdr:col>
      <xdr:colOff>223086</xdr:colOff>
      <xdr:row>27</xdr:row>
      <xdr:rowOff>21997</xdr:rowOff>
    </xdr:to>
    <xdr:cxnSp macro="">
      <xdr:nvCxnSpPr>
        <xdr:cNvPr id="57" name="Verbinder: gewinkelt 56">
          <a:extLst>
            <a:ext uri="{FF2B5EF4-FFF2-40B4-BE49-F238E27FC236}">
              <a16:creationId xmlns:a16="http://schemas.microsoft.com/office/drawing/2014/main" id="{81A1CD54-E0DA-488E-A837-145AE6D962E8}"/>
            </a:ext>
          </a:extLst>
        </xdr:cNvPr>
        <xdr:cNvCxnSpPr>
          <a:stCxn id="38" idx="3"/>
          <a:endCxn id="55" idx="0"/>
        </xdr:cNvCxnSpPr>
      </xdr:nvCxnSpPr>
      <xdr:spPr>
        <a:xfrm>
          <a:off x="7852402" y="5053544"/>
          <a:ext cx="505034" cy="169103"/>
        </a:xfrm>
        <a:prstGeom prst="bentConnector2">
          <a:avLst/>
        </a:prstGeom>
        <a:ln>
          <a:solidFill>
            <a:schemeClr val="bg1">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223087</xdr:colOff>
      <xdr:row>26</xdr:row>
      <xdr:rowOff>43393</xdr:rowOff>
    </xdr:from>
    <xdr:to>
      <xdr:col>7</xdr:col>
      <xdr:colOff>743472</xdr:colOff>
      <xdr:row>27</xdr:row>
      <xdr:rowOff>21996</xdr:rowOff>
    </xdr:to>
    <xdr:cxnSp macro="">
      <xdr:nvCxnSpPr>
        <xdr:cNvPr id="58" name="Verbinder: gewinkelt 57">
          <a:extLst>
            <a:ext uri="{FF2B5EF4-FFF2-40B4-BE49-F238E27FC236}">
              <a16:creationId xmlns:a16="http://schemas.microsoft.com/office/drawing/2014/main" id="{2A0DB21C-ECEC-4B93-B6F1-5B60C8042429}"/>
            </a:ext>
          </a:extLst>
        </xdr:cNvPr>
        <xdr:cNvCxnSpPr>
          <a:stCxn id="46" idx="1"/>
          <a:endCxn id="55" idx="0"/>
        </xdr:cNvCxnSpPr>
      </xdr:nvCxnSpPr>
      <xdr:spPr>
        <a:xfrm rot="10800000" flipV="1">
          <a:off x="8357437" y="5053543"/>
          <a:ext cx="520385" cy="169103"/>
        </a:xfrm>
        <a:prstGeom prst="bentConnector2">
          <a:avLst/>
        </a:prstGeom>
        <a:ln>
          <a:solidFill>
            <a:schemeClr val="bg1">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243840</xdr:colOff>
      <xdr:row>33</xdr:row>
      <xdr:rowOff>78441</xdr:rowOff>
    </xdr:from>
    <xdr:to>
      <xdr:col>5</xdr:col>
      <xdr:colOff>891540</xdr:colOff>
      <xdr:row>34</xdr:row>
      <xdr:rowOff>132741</xdr:rowOff>
    </xdr:to>
    <xdr:sp macro="" textlink="">
      <xdr:nvSpPr>
        <xdr:cNvPr id="59" name="Rechteck 58">
          <a:extLst>
            <a:ext uri="{FF2B5EF4-FFF2-40B4-BE49-F238E27FC236}">
              <a16:creationId xmlns:a16="http://schemas.microsoft.com/office/drawing/2014/main" id="{A6F70506-CBBF-47B3-9242-18C264BFFDA2}"/>
            </a:ext>
          </a:extLst>
        </xdr:cNvPr>
        <xdr:cNvSpPr/>
      </xdr:nvSpPr>
      <xdr:spPr>
        <a:xfrm>
          <a:off x="5092065" y="6431616"/>
          <a:ext cx="1885950" cy="244800"/>
        </a:xfrm>
        <a:prstGeom prst="rect">
          <a:avLst/>
        </a:prstGeom>
        <a:solidFill>
          <a:srgbClr val="0A4669"/>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r>
            <a:rPr lang="de-AT" sz="1000">
              <a:solidFill>
                <a:schemeClr val="bg1"/>
              </a:solidFill>
              <a:latin typeface="PP Pangram Sans Semibold" panose="00000705000000000000" pitchFamily="2" charset="0"/>
            </a:rPr>
            <a:t>Delta</a:t>
          </a:r>
        </a:p>
      </xdr:txBody>
    </xdr:sp>
    <xdr:clientData/>
  </xdr:twoCellAnchor>
  <xdr:twoCellAnchor>
    <xdr:from>
      <xdr:col>6</xdr:col>
      <xdr:colOff>19066</xdr:colOff>
      <xdr:row>33</xdr:row>
      <xdr:rowOff>78441</xdr:rowOff>
    </xdr:from>
    <xdr:to>
      <xdr:col>6</xdr:col>
      <xdr:colOff>556252</xdr:colOff>
      <xdr:row>34</xdr:row>
      <xdr:rowOff>132741</xdr:rowOff>
    </xdr:to>
    <xdr:sp macro="" textlink="$AF$44">
      <xdr:nvSpPr>
        <xdr:cNvPr id="60" name="Rechteck 59">
          <a:extLst>
            <a:ext uri="{FF2B5EF4-FFF2-40B4-BE49-F238E27FC236}">
              <a16:creationId xmlns:a16="http://schemas.microsoft.com/office/drawing/2014/main" id="{71457754-2C4E-4CD9-B430-12B9104A34F4}"/>
            </a:ext>
          </a:extLst>
        </xdr:cNvPr>
        <xdr:cNvSpPr/>
      </xdr:nvSpPr>
      <xdr:spPr>
        <a:xfrm>
          <a:off x="7315216" y="6431616"/>
          <a:ext cx="537186" cy="244800"/>
        </a:xfrm>
        <a:prstGeom prst="rect">
          <a:avLst/>
        </a:prstGeom>
        <a:solidFill>
          <a:schemeClr val="bg1">
            <a:lumMod val="85000"/>
          </a:schemeClr>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marL="0" indent="0" algn="ctr" defTabSz="144000" rtl="0" eaLnBrk="1" latinLnBrk="0" hangingPunct="1"/>
          <a:fld id="{F4546581-28FA-4BC8-ACBA-4C4CEF834C69}" type="TxLink">
            <a:rPr lang="en-US" sz="1100" b="0" i="0" u="none" strike="noStrike" kern="1200">
              <a:solidFill>
                <a:schemeClr val="bg1">
                  <a:lumMod val="50000"/>
                </a:schemeClr>
              </a:solidFill>
              <a:latin typeface="Calibri"/>
              <a:ea typeface="Calibri"/>
              <a:cs typeface="Calibri"/>
            </a:rPr>
            <a:pPr marL="0" indent="0" algn="ctr" defTabSz="144000" rtl="0" eaLnBrk="1" latinLnBrk="0" hangingPunct="1"/>
            <a:t>0,0</a:t>
          </a:fld>
          <a:endParaRPr lang="de-AT" sz="1100" b="0" i="0" u="none" strike="noStrike" kern="1200">
            <a:solidFill>
              <a:schemeClr val="bg1">
                <a:lumMod val="50000"/>
              </a:schemeClr>
            </a:solidFill>
            <a:latin typeface="Calibri"/>
            <a:ea typeface="Calibri"/>
            <a:cs typeface="Calibri"/>
          </a:endParaRPr>
        </a:p>
      </xdr:txBody>
    </xdr:sp>
    <xdr:clientData/>
  </xdr:twoCellAnchor>
  <xdr:twoCellAnchor>
    <xdr:from>
      <xdr:col>7</xdr:col>
      <xdr:colOff>743471</xdr:colOff>
      <xdr:row>33</xdr:row>
      <xdr:rowOff>78441</xdr:rowOff>
    </xdr:from>
    <xdr:to>
      <xdr:col>8</xdr:col>
      <xdr:colOff>363806</xdr:colOff>
      <xdr:row>34</xdr:row>
      <xdr:rowOff>132741</xdr:rowOff>
    </xdr:to>
    <xdr:sp macro="" textlink="$AF$45">
      <xdr:nvSpPr>
        <xdr:cNvPr id="61" name="Rechteck 60">
          <a:extLst>
            <a:ext uri="{FF2B5EF4-FFF2-40B4-BE49-F238E27FC236}">
              <a16:creationId xmlns:a16="http://schemas.microsoft.com/office/drawing/2014/main" id="{14C1AECF-9A19-4A30-B0EE-DF07960B5F82}"/>
            </a:ext>
          </a:extLst>
        </xdr:cNvPr>
        <xdr:cNvSpPr/>
      </xdr:nvSpPr>
      <xdr:spPr>
        <a:xfrm>
          <a:off x="8877821" y="6431616"/>
          <a:ext cx="525210" cy="244800"/>
        </a:xfrm>
        <a:prstGeom prst="rect">
          <a:avLst/>
        </a:prstGeom>
        <a:solidFill>
          <a:schemeClr val="bg1">
            <a:lumMod val="85000"/>
          </a:schemeClr>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marL="0" indent="0" algn="ctr" defTabSz="144000" rtl="0" eaLnBrk="1" latinLnBrk="0" hangingPunct="1"/>
          <a:fld id="{21F76E1B-DA1A-4842-A671-BF5647103624}" type="TxLink">
            <a:rPr lang="en-US" sz="1100" b="0" i="0" u="none" strike="noStrike" kern="1200">
              <a:solidFill>
                <a:schemeClr val="bg1">
                  <a:lumMod val="50000"/>
                </a:schemeClr>
              </a:solidFill>
              <a:latin typeface="Calibri"/>
              <a:ea typeface="Calibri"/>
              <a:cs typeface="Calibri"/>
            </a:rPr>
            <a:pPr marL="0" indent="0" algn="ctr" defTabSz="144000" rtl="0" eaLnBrk="1" latinLnBrk="0" hangingPunct="1"/>
            <a:t>0,0</a:t>
          </a:fld>
          <a:endParaRPr lang="de-AT" sz="1100" b="0" i="0" u="none" strike="noStrike" kern="1200">
            <a:solidFill>
              <a:schemeClr val="bg1">
                <a:lumMod val="50000"/>
              </a:schemeClr>
            </a:solidFill>
            <a:latin typeface="Calibri"/>
            <a:ea typeface="Calibri"/>
            <a:cs typeface="Calibri"/>
          </a:endParaRPr>
        </a:p>
      </xdr:txBody>
    </xdr:sp>
    <xdr:clientData/>
  </xdr:twoCellAnchor>
  <xdr:twoCellAnchor>
    <xdr:from>
      <xdr:col>6</xdr:col>
      <xdr:colOff>846017</xdr:colOff>
      <xdr:row>30</xdr:row>
      <xdr:rowOff>20731</xdr:rowOff>
    </xdr:from>
    <xdr:to>
      <xdr:col>7</xdr:col>
      <xdr:colOff>603257</xdr:colOff>
      <xdr:row>31</xdr:row>
      <xdr:rowOff>75031</xdr:rowOff>
    </xdr:to>
    <xdr:sp macro="" textlink="$AF$43">
      <xdr:nvSpPr>
        <xdr:cNvPr id="62" name="Rechteck 61">
          <a:extLst>
            <a:ext uri="{FF2B5EF4-FFF2-40B4-BE49-F238E27FC236}">
              <a16:creationId xmlns:a16="http://schemas.microsoft.com/office/drawing/2014/main" id="{61236E01-0EDD-4B76-B46D-7B4AAD0154AF}"/>
            </a:ext>
          </a:extLst>
        </xdr:cNvPr>
        <xdr:cNvSpPr/>
      </xdr:nvSpPr>
      <xdr:spPr>
        <a:xfrm>
          <a:off x="8132642" y="5792881"/>
          <a:ext cx="604965" cy="244800"/>
        </a:xfrm>
        <a:prstGeom prst="rect">
          <a:avLst/>
        </a:prstGeom>
        <a:no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marL="0" indent="0" algn="r" defTabSz="144000" rtl="0" eaLnBrk="1" latinLnBrk="0" hangingPunct="1"/>
          <a:fld id="{CA67662E-FC37-4A2A-82DA-37D24476E2EF}" type="TxLink">
            <a:rPr lang="en-US" sz="1100" b="0" i="0" u="none" strike="noStrike" kern="1200">
              <a:solidFill>
                <a:schemeClr val="bg1">
                  <a:lumMod val="50000"/>
                </a:schemeClr>
              </a:solidFill>
              <a:latin typeface="Calibri"/>
              <a:ea typeface="Calibri"/>
              <a:cs typeface="Calibri"/>
            </a:rPr>
            <a:pPr marL="0" indent="0" algn="r" defTabSz="144000" rtl="0" eaLnBrk="1" latinLnBrk="0" hangingPunct="1"/>
            <a:t>0,0</a:t>
          </a:fld>
          <a:endParaRPr lang="de-AT" sz="1100" b="0" i="0" u="none" strike="noStrike" kern="1200">
            <a:solidFill>
              <a:schemeClr val="bg1">
                <a:lumMod val="50000"/>
              </a:schemeClr>
            </a:solidFill>
            <a:latin typeface="Calibri"/>
            <a:ea typeface="Calibri"/>
            <a:cs typeface="Calibri"/>
          </a:endParaRPr>
        </a:p>
      </xdr:txBody>
    </xdr:sp>
    <xdr:clientData/>
  </xdr:twoCellAnchor>
  <xdr:twoCellAnchor>
    <xdr:from>
      <xdr:col>7</xdr:col>
      <xdr:colOff>222134</xdr:colOff>
      <xdr:row>28</xdr:row>
      <xdr:rowOff>76297</xdr:rowOff>
    </xdr:from>
    <xdr:to>
      <xdr:col>7</xdr:col>
      <xdr:colOff>223086</xdr:colOff>
      <xdr:row>31</xdr:row>
      <xdr:rowOff>174905</xdr:rowOff>
    </xdr:to>
    <xdr:cxnSp macro="">
      <xdr:nvCxnSpPr>
        <xdr:cNvPr id="63" name="Gerade Verbindung mit Pfeil 62">
          <a:extLst>
            <a:ext uri="{FF2B5EF4-FFF2-40B4-BE49-F238E27FC236}">
              <a16:creationId xmlns:a16="http://schemas.microsoft.com/office/drawing/2014/main" id="{B2405929-D052-4176-8F70-9B3C4C8281B0}"/>
            </a:ext>
          </a:extLst>
        </xdr:cNvPr>
        <xdr:cNvCxnSpPr>
          <a:stCxn id="55" idx="2"/>
          <a:endCxn id="42" idx="0"/>
        </xdr:cNvCxnSpPr>
      </xdr:nvCxnSpPr>
      <xdr:spPr>
        <a:xfrm flipH="1">
          <a:off x="8356484" y="5467447"/>
          <a:ext cx="952" cy="670108"/>
        </a:xfrm>
        <a:prstGeom prst="straightConnector1">
          <a:avLst/>
        </a:prstGeom>
        <a:ln>
          <a:solidFill>
            <a:schemeClr val="bg1">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556252</xdr:colOff>
      <xdr:row>29</xdr:row>
      <xdr:rowOff>172937</xdr:rowOff>
    </xdr:from>
    <xdr:to>
      <xdr:col>7</xdr:col>
      <xdr:colOff>743471</xdr:colOff>
      <xdr:row>29</xdr:row>
      <xdr:rowOff>182461</xdr:rowOff>
    </xdr:to>
    <xdr:cxnSp macro="">
      <xdr:nvCxnSpPr>
        <xdr:cNvPr id="64" name="Gerader Verbinder 63">
          <a:extLst>
            <a:ext uri="{FF2B5EF4-FFF2-40B4-BE49-F238E27FC236}">
              <a16:creationId xmlns:a16="http://schemas.microsoft.com/office/drawing/2014/main" id="{F5D992AF-B36D-48F8-B6B1-9D54D1F93DD9}"/>
            </a:ext>
          </a:extLst>
        </xdr:cNvPr>
        <xdr:cNvCxnSpPr>
          <a:stCxn id="37" idx="3"/>
          <a:endCxn id="45" idx="1"/>
        </xdr:cNvCxnSpPr>
      </xdr:nvCxnSpPr>
      <xdr:spPr>
        <a:xfrm flipV="1">
          <a:off x="7852402" y="5754587"/>
          <a:ext cx="1025419" cy="9524"/>
        </a:xfrm>
        <a:prstGeom prst="line">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556252</xdr:colOff>
      <xdr:row>32</xdr:row>
      <xdr:rowOff>95599</xdr:rowOff>
    </xdr:from>
    <xdr:to>
      <xdr:col>6</xdr:col>
      <xdr:colOff>807801</xdr:colOff>
      <xdr:row>32</xdr:row>
      <xdr:rowOff>95599</xdr:rowOff>
    </xdr:to>
    <xdr:cxnSp macro="">
      <xdr:nvCxnSpPr>
        <xdr:cNvPr id="65" name="Gerade Verbindung mit Pfeil 64">
          <a:extLst>
            <a:ext uri="{FF2B5EF4-FFF2-40B4-BE49-F238E27FC236}">
              <a16:creationId xmlns:a16="http://schemas.microsoft.com/office/drawing/2014/main" id="{EA4F2141-6698-479E-B201-FBD5B9073C50}"/>
            </a:ext>
          </a:extLst>
        </xdr:cNvPr>
        <xdr:cNvCxnSpPr>
          <a:stCxn id="42" idx="1"/>
          <a:endCxn id="40" idx="3"/>
        </xdr:cNvCxnSpPr>
      </xdr:nvCxnSpPr>
      <xdr:spPr>
        <a:xfrm flipH="1">
          <a:off x="7852402" y="6258274"/>
          <a:ext cx="251549" cy="0"/>
        </a:xfrm>
        <a:prstGeom prst="straightConnector1">
          <a:avLst/>
        </a:prstGeom>
        <a:ln>
          <a:solidFill>
            <a:schemeClr val="bg1">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488113</xdr:colOff>
      <xdr:row>32</xdr:row>
      <xdr:rowOff>95599</xdr:rowOff>
    </xdr:from>
    <xdr:to>
      <xdr:col>7</xdr:col>
      <xdr:colOff>739661</xdr:colOff>
      <xdr:row>32</xdr:row>
      <xdr:rowOff>95599</xdr:rowOff>
    </xdr:to>
    <xdr:cxnSp macro="">
      <xdr:nvCxnSpPr>
        <xdr:cNvPr id="66" name="Gerade Verbindung mit Pfeil 65">
          <a:extLst>
            <a:ext uri="{FF2B5EF4-FFF2-40B4-BE49-F238E27FC236}">
              <a16:creationId xmlns:a16="http://schemas.microsoft.com/office/drawing/2014/main" id="{7D1CD7EC-46A0-4461-8D7F-E57B30D4322D}"/>
            </a:ext>
          </a:extLst>
        </xdr:cNvPr>
        <xdr:cNvCxnSpPr>
          <a:stCxn id="42" idx="3"/>
          <a:endCxn id="47" idx="1"/>
        </xdr:cNvCxnSpPr>
      </xdr:nvCxnSpPr>
      <xdr:spPr>
        <a:xfrm>
          <a:off x="8622463" y="6258274"/>
          <a:ext cx="251548" cy="0"/>
        </a:xfrm>
        <a:prstGeom prst="straightConnector1">
          <a:avLst/>
        </a:prstGeom>
        <a:ln>
          <a:solidFill>
            <a:schemeClr val="bg1">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488113</xdr:colOff>
      <xdr:row>27</xdr:row>
      <xdr:rowOff>144397</xdr:rowOff>
    </xdr:from>
    <xdr:to>
      <xdr:col>7</xdr:col>
      <xdr:colOff>739661</xdr:colOff>
      <xdr:row>27</xdr:row>
      <xdr:rowOff>144397</xdr:rowOff>
    </xdr:to>
    <xdr:cxnSp macro="">
      <xdr:nvCxnSpPr>
        <xdr:cNvPr id="67" name="Gerade Verbindung mit Pfeil 66">
          <a:extLst>
            <a:ext uri="{FF2B5EF4-FFF2-40B4-BE49-F238E27FC236}">
              <a16:creationId xmlns:a16="http://schemas.microsoft.com/office/drawing/2014/main" id="{B3500A56-A7C7-4D2D-82BA-237AF45B6FBC}"/>
            </a:ext>
          </a:extLst>
        </xdr:cNvPr>
        <xdr:cNvCxnSpPr>
          <a:stCxn id="55" idx="3"/>
          <a:endCxn id="56" idx="1"/>
        </xdr:cNvCxnSpPr>
      </xdr:nvCxnSpPr>
      <xdr:spPr>
        <a:xfrm>
          <a:off x="8622463" y="5345047"/>
          <a:ext cx="251548" cy="0"/>
        </a:xfrm>
        <a:prstGeom prst="straightConnector1">
          <a:avLst/>
        </a:prstGeom>
        <a:ln>
          <a:solidFill>
            <a:schemeClr val="bg1">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558157</xdr:colOff>
      <xdr:row>27</xdr:row>
      <xdr:rowOff>144397</xdr:rowOff>
    </xdr:from>
    <xdr:to>
      <xdr:col>6</xdr:col>
      <xdr:colOff>809706</xdr:colOff>
      <xdr:row>27</xdr:row>
      <xdr:rowOff>144397</xdr:rowOff>
    </xdr:to>
    <xdr:cxnSp macro="">
      <xdr:nvCxnSpPr>
        <xdr:cNvPr id="68" name="Gerade Verbindung mit Pfeil 67">
          <a:extLst>
            <a:ext uri="{FF2B5EF4-FFF2-40B4-BE49-F238E27FC236}">
              <a16:creationId xmlns:a16="http://schemas.microsoft.com/office/drawing/2014/main" id="{806631B8-A689-41BC-8F2D-DF482C660587}"/>
            </a:ext>
          </a:extLst>
        </xdr:cNvPr>
        <xdr:cNvCxnSpPr>
          <a:stCxn id="55" idx="1"/>
          <a:endCxn id="54" idx="3"/>
        </xdr:cNvCxnSpPr>
      </xdr:nvCxnSpPr>
      <xdr:spPr>
        <a:xfrm flipH="1">
          <a:off x="7854307" y="5345047"/>
          <a:ext cx="251549" cy="0"/>
        </a:xfrm>
        <a:prstGeom prst="straightConnector1">
          <a:avLst/>
        </a:prstGeom>
        <a:ln>
          <a:solidFill>
            <a:schemeClr val="bg1">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488113</xdr:colOff>
      <xdr:row>9</xdr:row>
      <xdr:rowOff>144397</xdr:rowOff>
    </xdr:from>
    <xdr:to>
      <xdr:col>7</xdr:col>
      <xdr:colOff>739661</xdr:colOff>
      <xdr:row>9</xdr:row>
      <xdr:rowOff>144397</xdr:rowOff>
    </xdr:to>
    <xdr:cxnSp macro="">
      <xdr:nvCxnSpPr>
        <xdr:cNvPr id="69" name="Gerade Verbindung mit Pfeil 68">
          <a:extLst>
            <a:ext uri="{FF2B5EF4-FFF2-40B4-BE49-F238E27FC236}">
              <a16:creationId xmlns:a16="http://schemas.microsoft.com/office/drawing/2014/main" id="{19688D13-392A-4473-B2E5-894B7CAD9047}"/>
            </a:ext>
          </a:extLst>
        </xdr:cNvPr>
        <xdr:cNvCxnSpPr>
          <a:stCxn id="23" idx="3"/>
          <a:endCxn id="24" idx="1"/>
        </xdr:cNvCxnSpPr>
      </xdr:nvCxnSpPr>
      <xdr:spPr>
        <a:xfrm>
          <a:off x="8622463" y="1916047"/>
          <a:ext cx="251548" cy="0"/>
        </a:xfrm>
        <a:prstGeom prst="straightConnector1">
          <a:avLst/>
        </a:prstGeom>
        <a:ln>
          <a:solidFill>
            <a:schemeClr val="bg1">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558157</xdr:colOff>
      <xdr:row>9</xdr:row>
      <xdr:rowOff>144397</xdr:rowOff>
    </xdr:from>
    <xdr:to>
      <xdr:col>6</xdr:col>
      <xdr:colOff>809706</xdr:colOff>
      <xdr:row>9</xdr:row>
      <xdr:rowOff>144397</xdr:rowOff>
    </xdr:to>
    <xdr:cxnSp macro="">
      <xdr:nvCxnSpPr>
        <xdr:cNvPr id="70" name="Gerade Verbindung mit Pfeil 69">
          <a:extLst>
            <a:ext uri="{FF2B5EF4-FFF2-40B4-BE49-F238E27FC236}">
              <a16:creationId xmlns:a16="http://schemas.microsoft.com/office/drawing/2014/main" id="{89515453-0A37-4CEA-B1BC-75C7497160BD}"/>
            </a:ext>
          </a:extLst>
        </xdr:cNvPr>
        <xdr:cNvCxnSpPr>
          <a:stCxn id="23" idx="1"/>
          <a:endCxn id="22" idx="3"/>
        </xdr:cNvCxnSpPr>
      </xdr:nvCxnSpPr>
      <xdr:spPr>
        <a:xfrm flipH="1">
          <a:off x="7854307" y="1916047"/>
          <a:ext cx="251549" cy="0"/>
        </a:xfrm>
        <a:prstGeom prst="straightConnector1">
          <a:avLst/>
        </a:prstGeom>
        <a:ln>
          <a:solidFill>
            <a:schemeClr val="bg1">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247650</xdr:colOff>
      <xdr:row>19</xdr:row>
      <xdr:rowOff>80471</xdr:rowOff>
    </xdr:from>
    <xdr:to>
      <xdr:col>5</xdr:col>
      <xdr:colOff>282879</xdr:colOff>
      <xdr:row>20</xdr:row>
      <xdr:rowOff>134771</xdr:rowOff>
    </xdr:to>
    <xdr:sp macro="" textlink="">
      <xdr:nvSpPr>
        <xdr:cNvPr id="71" name="Rechteck 70">
          <a:extLst>
            <a:ext uri="{FF2B5EF4-FFF2-40B4-BE49-F238E27FC236}">
              <a16:creationId xmlns:a16="http://schemas.microsoft.com/office/drawing/2014/main" id="{C8F8E40C-EE88-45B0-B101-2A99C4ECC8F1}"/>
            </a:ext>
          </a:extLst>
        </xdr:cNvPr>
        <xdr:cNvSpPr/>
      </xdr:nvSpPr>
      <xdr:spPr>
        <a:xfrm>
          <a:off x="5095875" y="3757121"/>
          <a:ext cx="1273479" cy="244800"/>
        </a:xfrm>
        <a:prstGeom prst="rect">
          <a:avLst/>
        </a:prstGeom>
        <a:solidFill>
          <a:srgbClr val="0A4669"/>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r>
            <a:rPr lang="de-AT" sz="1000" kern="1200">
              <a:solidFill>
                <a:schemeClr val="bg1"/>
              </a:solidFill>
              <a:latin typeface="PP Pangram Sans Semibold" panose="00000705000000000000" pitchFamily="2" charset="0"/>
              <a:ea typeface="+mn-ea"/>
              <a:cs typeface="+mn-cs"/>
            </a:rPr>
            <a:t>CRRC (€/MWh)</a:t>
          </a:r>
          <a:endParaRPr lang="de-AT" sz="1000">
            <a:solidFill>
              <a:schemeClr val="bg1"/>
            </a:solidFill>
            <a:latin typeface="PP Pangram Sans Semibold" panose="00000705000000000000" pitchFamily="2" charset="0"/>
          </a:endParaRPr>
        </a:p>
      </xdr:txBody>
    </xdr:sp>
    <xdr:clientData/>
  </xdr:twoCellAnchor>
  <xdr:twoCellAnchor>
    <xdr:from>
      <xdr:col>5</xdr:col>
      <xdr:colOff>339587</xdr:colOff>
      <xdr:row>19</xdr:row>
      <xdr:rowOff>80471</xdr:rowOff>
    </xdr:from>
    <xdr:to>
      <xdr:col>5</xdr:col>
      <xdr:colOff>892105</xdr:colOff>
      <xdr:row>20</xdr:row>
      <xdr:rowOff>134771</xdr:rowOff>
    </xdr:to>
    <xdr:sp macro="" textlink="$C$11">
      <xdr:nvSpPr>
        <xdr:cNvPr id="72" name="Rechteck 71">
          <a:extLst>
            <a:ext uri="{FF2B5EF4-FFF2-40B4-BE49-F238E27FC236}">
              <a16:creationId xmlns:a16="http://schemas.microsoft.com/office/drawing/2014/main" id="{D7A88DC8-3831-46AA-B3DD-383247D5631F}"/>
            </a:ext>
          </a:extLst>
        </xdr:cNvPr>
        <xdr:cNvSpPr/>
      </xdr:nvSpPr>
      <xdr:spPr>
        <a:xfrm>
          <a:off x="6426062" y="3757121"/>
          <a:ext cx="552518" cy="244800"/>
        </a:xfrm>
        <a:prstGeom prst="rect">
          <a:avLst/>
        </a:prstGeom>
        <a:solidFill>
          <a:srgbClr val="C3E49C"/>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algn="ctr"/>
          <a:fld id="{09E8FD6E-8AAA-4F41-AFEF-8BC48B75F67B}" type="TxLink">
            <a:rPr lang="en-US" sz="1100" b="0" i="0" u="none" strike="noStrike">
              <a:solidFill>
                <a:schemeClr val="bg1">
                  <a:lumMod val="50000"/>
                </a:schemeClr>
              </a:solidFill>
              <a:latin typeface="Calibri"/>
              <a:ea typeface="Calibri"/>
              <a:cs typeface="Calibri"/>
            </a:rPr>
            <a:pPr algn="ctr"/>
            <a:t> </a:t>
          </a:fld>
          <a:endParaRPr lang="de-AT" sz="1000">
            <a:solidFill>
              <a:schemeClr val="bg1">
                <a:lumMod val="50000"/>
              </a:schemeClr>
            </a:solidFill>
            <a:latin typeface="PP Pangram Sans Semibold" panose="00000705000000000000" pitchFamily="2" charset="0"/>
          </a:endParaRPr>
        </a:p>
      </xdr:txBody>
    </xdr:sp>
    <xdr:clientData/>
  </xdr:twoCellAnchor>
  <xdr:twoCellAnchor>
    <xdr:from>
      <xdr:col>6</xdr:col>
      <xdr:colOff>262842</xdr:colOff>
      <xdr:row>19</xdr:row>
      <xdr:rowOff>80471</xdr:rowOff>
    </xdr:from>
    <xdr:to>
      <xdr:col>7</xdr:col>
      <xdr:colOff>679360</xdr:colOff>
      <xdr:row>20</xdr:row>
      <xdr:rowOff>134771</xdr:rowOff>
    </xdr:to>
    <xdr:sp macro="" textlink="">
      <xdr:nvSpPr>
        <xdr:cNvPr id="73" name="Rechteck 72">
          <a:extLst>
            <a:ext uri="{FF2B5EF4-FFF2-40B4-BE49-F238E27FC236}">
              <a16:creationId xmlns:a16="http://schemas.microsoft.com/office/drawing/2014/main" id="{DEB8A8D2-D94C-4F15-A1D2-0E81BB28B8BB}"/>
            </a:ext>
          </a:extLst>
        </xdr:cNvPr>
        <xdr:cNvSpPr/>
      </xdr:nvSpPr>
      <xdr:spPr>
        <a:xfrm>
          <a:off x="7558992" y="3757121"/>
          <a:ext cx="1254718" cy="244800"/>
        </a:xfrm>
        <a:prstGeom prst="rect">
          <a:avLst/>
        </a:prstGeom>
        <a:solidFill>
          <a:srgbClr val="0A4669"/>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r>
            <a:rPr lang="de-AT" sz="1000">
              <a:solidFill>
                <a:schemeClr val="bg1"/>
              </a:solidFill>
              <a:latin typeface="PP Pangram Sans Semibold" panose="00000705000000000000" pitchFamily="2" charset="0"/>
            </a:rPr>
            <a:t>CRRC ITC (plan)</a:t>
          </a:r>
        </a:p>
      </xdr:txBody>
    </xdr:sp>
    <xdr:clientData/>
  </xdr:twoCellAnchor>
  <xdr:twoCellAnchor>
    <xdr:from>
      <xdr:col>7</xdr:col>
      <xdr:colOff>723111</xdr:colOff>
      <xdr:row>19</xdr:row>
      <xdr:rowOff>80471</xdr:rowOff>
    </xdr:from>
    <xdr:to>
      <xdr:col>8</xdr:col>
      <xdr:colOff>359996</xdr:colOff>
      <xdr:row>20</xdr:row>
      <xdr:rowOff>134771</xdr:rowOff>
    </xdr:to>
    <xdr:sp macro="" textlink="$AF$27">
      <xdr:nvSpPr>
        <xdr:cNvPr id="74" name="Rechteck 73">
          <a:extLst>
            <a:ext uri="{FF2B5EF4-FFF2-40B4-BE49-F238E27FC236}">
              <a16:creationId xmlns:a16="http://schemas.microsoft.com/office/drawing/2014/main" id="{18BD8689-1652-485A-8093-B6651669A49B}"/>
            </a:ext>
          </a:extLst>
        </xdr:cNvPr>
        <xdr:cNvSpPr/>
      </xdr:nvSpPr>
      <xdr:spPr>
        <a:xfrm>
          <a:off x="8857461" y="3757121"/>
          <a:ext cx="541760" cy="244800"/>
        </a:xfrm>
        <a:prstGeom prst="rect">
          <a:avLst/>
        </a:prstGeom>
        <a:solidFill>
          <a:srgbClr val="DCE6F2"/>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algn="ctr"/>
          <a:fld id="{750FF7AB-9DD8-49B5-9ED2-5BBCC886F6B4}" type="TxLink">
            <a:rPr lang="en-US" sz="1100" b="0" i="0" u="none" strike="noStrike">
              <a:solidFill>
                <a:schemeClr val="bg1">
                  <a:lumMod val="50000"/>
                </a:schemeClr>
              </a:solidFill>
              <a:latin typeface="Calibri"/>
              <a:ea typeface="Calibri"/>
              <a:cs typeface="Calibri"/>
            </a:rPr>
            <a:pPr algn="ctr"/>
            <a:t>n.a.</a:t>
          </a:fld>
          <a:endParaRPr lang="de-AT" sz="1000">
            <a:solidFill>
              <a:schemeClr val="bg1">
                <a:lumMod val="50000"/>
              </a:schemeClr>
            </a:solidFill>
            <a:latin typeface="PP Pangram Sans Semibold" panose="00000705000000000000" pitchFamily="2" charset="0"/>
          </a:endParaRPr>
        </a:p>
      </xdr:txBody>
    </xdr:sp>
    <xdr:clientData/>
  </xdr:twoCellAnchor>
  <xdr:twoCellAnchor>
    <xdr:from>
      <xdr:col>12</xdr:col>
      <xdr:colOff>95250</xdr:colOff>
      <xdr:row>27</xdr:row>
      <xdr:rowOff>180975</xdr:rowOff>
    </xdr:from>
    <xdr:to>
      <xdr:col>14</xdr:col>
      <xdr:colOff>361950</xdr:colOff>
      <xdr:row>32</xdr:row>
      <xdr:rowOff>28575</xdr:rowOff>
    </xdr:to>
    <xdr:sp macro="" textlink="">
      <xdr:nvSpPr>
        <xdr:cNvPr id="75" name="Textfeld 74">
          <a:extLst>
            <a:ext uri="{FF2B5EF4-FFF2-40B4-BE49-F238E27FC236}">
              <a16:creationId xmlns:a16="http://schemas.microsoft.com/office/drawing/2014/main" id="{5B74F1C3-3B2B-4057-9E96-6C5AA86D54C9}"/>
            </a:ext>
          </a:extLst>
        </xdr:cNvPr>
        <xdr:cNvSpPr txBox="1"/>
      </xdr:nvSpPr>
      <xdr:spPr>
        <a:xfrm>
          <a:off x="12496800" y="5381625"/>
          <a:ext cx="2000250" cy="8096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AT" sz="800" i="1"/>
            <a:t>ITC formulas represent </a:t>
          </a:r>
          <a:r>
            <a:rPr lang="de-AT" sz="800" i="1" baseline="0"/>
            <a:t>an exemplary approach and do not represent the actually applied mechanism, which is still to be decided upon by the TSOs at the time of creation of this model (5.12.2023)</a:t>
          </a:r>
          <a:endParaRPr lang="de-AT" sz="800" i="1"/>
        </a:p>
      </xdr:txBody>
    </xdr:sp>
    <xdr:clientData/>
  </xdr:twoCellAnchor>
  <xdr:twoCellAnchor>
    <xdr:from>
      <xdr:col>10</xdr:col>
      <xdr:colOff>95250</xdr:colOff>
      <xdr:row>42</xdr:row>
      <xdr:rowOff>0</xdr:rowOff>
    </xdr:from>
    <xdr:to>
      <xdr:col>12</xdr:col>
      <xdr:colOff>361950</xdr:colOff>
      <xdr:row>46</xdr:row>
      <xdr:rowOff>38100</xdr:rowOff>
    </xdr:to>
    <xdr:sp macro="" textlink="">
      <xdr:nvSpPr>
        <xdr:cNvPr id="76" name="Textfeld 75">
          <a:extLst>
            <a:ext uri="{FF2B5EF4-FFF2-40B4-BE49-F238E27FC236}">
              <a16:creationId xmlns:a16="http://schemas.microsoft.com/office/drawing/2014/main" id="{C624A7CF-BA28-4AB1-BF35-478C0792A559}"/>
            </a:ext>
          </a:extLst>
        </xdr:cNvPr>
        <xdr:cNvSpPr txBox="1"/>
      </xdr:nvSpPr>
      <xdr:spPr>
        <a:xfrm>
          <a:off x="10763250" y="8067675"/>
          <a:ext cx="2000250" cy="8096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AT" sz="800" i="1"/>
            <a:t>ITC formulas represent </a:t>
          </a:r>
          <a:r>
            <a:rPr lang="de-AT" sz="800" i="1" baseline="0"/>
            <a:t>an exemplary approach and do not represent the actually applied mechanism, which is still to be decided upon by the TSOs at the time of creation of this model (5.12.2023)</a:t>
          </a:r>
          <a:endParaRPr lang="de-AT" sz="800" i="1"/>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243840</xdr:colOff>
      <xdr:row>11</xdr:row>
      <xdr:rowOff>60061</xdr:rowOff>
    </xdr:from>
    <xdr:to>
      <xdr:col>5</xdr:col>
      <xdr:colOff>893490</xdr:colOff>
      <xdr:row>12</xdr:row>
      <xdr:rowOff>114361</xdr:rowOff>
    </xdr:to>
    <xdr:sp macro="" textlink="">
      <xdr:nvSpPr>
        <xdr:cNvPr id="2" name="Rechteck 1">
          <a:extLst>
            <a:ext uri="{FF2B5EF4-FFF2-40B4-BE49-F238E27FC236}">
              <a16:creationId xmlns:a16="http://schemas.microsoft.com/office/drawing/2014/main" id="{9A546408-4E8B-49F8-9940-10EB5826B4AA}"/>
            </a:ext>
          </a:extLst>
        </xdr:cNvPr>
        <xdr:cNvSpPr/>
      </xdr:nvSpPr>
      <xdr:spPr>
        <a:xfrm>
          <a:off x="5092065" y="2212711"/>
          <a:ext cx="1887900" cy="244800"/>
        </a:xfrm>
        <a:prstGeom prst="rect">
          <a:avLst/>
        </a:prstGeom>
        <a:solidFill>
          <a:srgbClr val="0A4669"/>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r>
            <a:rPr lang="de-AT" sz="1000">
              <a:solidFill>
                <a:schemeClr val="bg1"/>
              </a:solidFill>
              <a:latin typeface="PP Pangram Sans Semibold" panose="00000705000000000000" pitchFamily="2" charset="0"/>
            </a:rPr>
            <a:t>Actual</a:t>
          </a:r>
          <a:r>
            <a:rPr lang="de-AT" sz="1000" baseline="0">
              <a:solidFill>
                <a:schemeClr val="bg1"/>
              </a:solidFill>
              <a:latin typeface="PP Pangram Sans Semibold" panose="00000705000000000000" pitchFamily="2" charset="0"/>
            </a:rPr>
            <a:t> capacity</a:t>
          </a:r>
          <a:r>
            <a:rPr lang="de-AT" sz="1000">
              <a:solidFill>
                <a:schemeClr val="bg1"/>
              </a:solidFill>
              <a:latin typeface="PP Pangram Sans Semibold" panose="00000705000000000000" pitchFamily="2" charset="0"/>
            </a:rPr>
            <a:t> revenues</a:t>
          </a:r>
        </a:p>
      </xdr:txBody>
    </xdr:sp>
    <xdr:clientData/>
  </xdr:twoCellAnchor>
  <xdr:twoCellAnchor>
    <xdr:from>
      <xdr:col>4</xdr:col>
      <xdr:colOff>243840</xdr:colOff>
      <xdr:row>7</xdr:row>
      <xdr:rowOff>111494</xdr:rowOff>
    </xdr:from>
    <xdr:to>
      <xdr:col>5</xdr:col>
      <xdr:colOff>893490</xdr:colOff>
      <xdr:row>8</xdr:row>
      <xdr:rowOff>165794</xdr:rowOff>
    </xdr:to>
    <xdr:sp macro="" textlink="">
      <xdr:nvSpPr>
        <xdr:cNvPr id="3" name="Rechteck 2">
          <a:extLst>
            <a:ext uri="{FF2B5EF4-FFF2-40B4-BE49-F238E27FC236}">
              <a16:creationId xmlns:a16="http://schemas.microsoft.com/office/drawing/2014/main" id="{A01D2398-708C-4075-93AA-1DED7E776770}"/>
            </a:ext>
          </a:extLst>
        </xdr:cNvPr>
        <xdr:cNvSpPr/>
      </xdr:nvSpPr>
      <xdr:spPr>
        <a:xfrm>
          <a:off x="5092065" y="1502144"/>
          <a:ext cx="1887900" cy="244800"/>
        </a:xfrm>
        <a:prstGeom prst="rect">
          <a:avLst/>
        </a:prstGeom>
        <a:solidFill>
          <a:srgbClr val="0A4669"/>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r>
            <a:rPr lang="de-AT" sz="1000">
              <a:solidFill>
                <a:schemeClr val="bg1"/>
              </a:solidFill>
              <a:latin typeface="PP Pangram Sans Semibold" panose="00000705000000000000" pitchFamily="2" charset="0"/>
            </a:rPr>
            <a:t>Capacity cost base</a:t>
          </a:r>
        </a:p>
      </xdr:txBody>
    </xdr:sp>
    <xdr:clientData/>
  </xdr:twoCellAnchor>
  <xdr:twoCellAnchor>
    <xdr:from>
      <xdr:col>6</xdr:col>
      <xdr:colOff>19066</xdr:colOff>
      <xdr:row>11</xdr:row>
      <xdr:rowOff>60061</xdr:rowOff>
    </xdr:from>
    <xdr:to>
      <xdr:col>6</xdr:col>
      <xdr:colOff>556252</xdr:colOff>
      <xdr:row>12</xdr:row>
      <xdr:rowOff>114361</xdr:rowOff>
    </xdr:to>
    <xdr:sp macro="" textlink="AF24">
      <xdr:nvSpPr>
        <xdr:cNvPr id="4" name="Rechteck 3">
          <a:extLst>
            <a:ext uri="{FF2B5EF4-FFF2-40B4-BE49-F238E27FC236}">
              <a16:creationId xmlns:a16="http://schemas.microsoft.com/office/drawing/2014/main" id="{C2F7FC12-4812-444A-B32B-21C6060AA20A}"/>
            </a:ext>
          </a:extLst>
        </xdr:cNvPr>
        <xdr:cNvSpPr/>
      </xdr:nvSpPr>
      <xdr:spPr>
        <a:xfrm>
          <a:off x="7315216" y="2212711"/>
          <a:ext cx="537186" cy="244800"/>
        </a:xfrm>
        <a:prstGeom prst="rect">
          <a:avLst/>
        </a:prstGeom>
        <a:solidFill>
          <a:schemeClr val="bg1">
            <a:lumMod val="85000"/>
          </a:schemeClr>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algn="ctr"/>
          <a:fld id="{AC61D659-3582-4268-BC9D-05ED53DF8CAE}" type="TxLink">
            <a:rPr lang="en-US" sz="1100" b="0" i="0" u="none" strike="noStrike">
              <a:solidFill>
                <a:schemeClr val="bg1">
                  <a:lumMod val="50000"/>
                </a:schemeClr>
              </a:solidFill>
              <a:latin typeface="Calibri"/>
              <a:ea typeface="Calibri"/>
              <a:cs typeface="Calibri"/>
            </a:rPr>
            <a:pPr algn="ctr"/>
            <a:t>158,3</a:t>
          </a:fld>
          <a:endParaRPr lang="de-AT" sz="1000" b="0">
            <a:solidFill>
              <a:schemeClr val="bg1">
                <a:lumMod val="50000"/>
              </a:schemeClr>
            </a:solidFill>
            <a:latin typeface="PP Pangram Sans Semibold" panose="00000705000000000000" pitchFamily="2" charset="0"/>
          </a:endParaRPr>
        </a:p>
      </xdr:txBody>
    </xdr:sp>
    <xdr:clientData/>
  </xdr:twoCellAnchor>
  <xdr:twoCellAnchor>
    <xdr:from>
      <xdr:col>6</xdr:col>
      <xdr:colOff>19066</xdr:colOff>
      <xdr:row>7</xdr:row>
      <xdr:rowOff>111494</xdr:rowOff>
    </xdr:from>
    <xdr:to>
      <xdr:col>6</xdr:col>
      <xdr:colOff>556252</xdr:colOff>
      <xdr:row>8</xdr:row>
      <xdr:rowOff>165794</xdr:rowOff>
    </xdr:to>
    <xdr:sp macro="" textlink="$AF$14">
      <xdr:nvSpPr>
        <xdr:cNvPr id="5" name="Rechteck 4">
          <a:extLst>
            <a:ext uri="{FF2B5EF4-FFF2-40B4-BE49-F238E27FC236}">
              <a16:creationId xmlns:a16="http://schemas.microsoft.com/office/drawing/2014/main" id="{A372A16B-A89B-4D00-A7E9-1B7658B51B64}"/>
            </a:ext>
          </a:extLst>
        </xdr:cNvPr>
        <xdr:cNvSpPr/>
      </xdr:nvSpPr>
      <xdr:spPr>
        <a:xfrm>
          <a:off x="7315216" y="1502144"/>
          <a:ext cx="537186" cy="244800"/>
        </a:xfrm>
        <a:prstGeom prst="rect">
          <a:avLst/>
        </a:prstGeom>
        <a:solidFill>
          <a:schemeClr val="bg1">
            <a:lumMod val="85000"/>
          </a:schemeClr>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p>
          <a:pPr algn="ctr"/>
          <a:fld id="{AF6D3570-9081-4E49-AF61-0EB7F89E791E}" type="TxLink">
            <a:rPr lang="en-US" sz="1100" b="0" i="0" u="none" strike="noStrike">
              <a:solidFill>
                <a:schemeClr val="bg1">
                  <a:lumMod val="50000"/>
                </a:schemeClr>
              </a:solidFill>
              <a:latin typeface="Calibri"/>
              <a:ea typeface="Calibri"/>
              <a:cs typeface="Calibri"/>
            </a:rPr>
            <a:pPr algn="ctr"/>
            <a:t>104,2</a:t>
          </a:fld>
          <a:endParaRPr lang="en-US" b="0">
            <a:solidFill>
              <a:schemeClr val="bg1">
                <a:lumMod val="50000"/>
              </a:schemeClr>
            </a:solidFill>
          </a:endParaRPr>
        </a:p>
      </xdr:txBody>
    </xdr:sp>
    <xdr:clientData/>
  </xdr:twoCellAnchor>
  <xdr:twoCellAnchor>
    <xdr:from>
      <xdr:col>4</xdr:col>
      <xdr:colOff>245744</xdr:colOff>
      <xdr:row>13</xdr:row>
      <xdr:rowOff>174905</xdr:rowOff>
    </xdr:from>
    <xdr:to>
      <xdr:col>5</xdr:col>
      <xdr:colOff>895394</xdr:colOff>
      <xdr:row>15</xdr:row>
      <xdr:rowOff>38705</xdr:rowOff>
    </xdr:to>
    <xdr:sp macro="" textlink="">
      <xdr:nvSpPr>
        <xdr:cNvPr id="6" name="Rechteck 5">
          <a:extLst>
            <a:ext uri="{FF2B5EF4-FFF2-40B4-BE49-F238E27FC236}">
              <a16:creationId xmlns:a16="http://schemas.microsoft.com/office/drawing/2014/main" id="{E2C500A8-2161-4154-9058-2A80C307106E}"/>
            </a:ext>
          </a:extLst>
        </xdr:cNvPr>
        <xdr:cNvSpPr/>
      </xdr:nvSpPr>
      <xdr:spPr>
        <a:xfrm>
          <a:off x="5093969" y="2708555"/>
          <a:ext cx="1887900" cy="244800"/>
        </a:xfrm>
        <a:prstGeom prst="rect">
          <a:avLst/>
        </a:prstGeom>
        <a:solidFill>
          <a:srgbClr val="0A4669"/>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r>
            <a:rPr lang="de-AT" sz="1000">
              <a:solidFill>
                <a:schemeClr val="bg1"/>
              </a:solidFill>
              <a:latin typeface="PP Pangram Sans Semibold" panose="00000705000000000000" pitchFamily="2" charset="0"/>
            </a:rPr>
            <a:t>Effective capacity</a:t>
          </a:r>
          <a:r>
            <a:rPr lang="de-AT" sz="1000" baseline="0">
              <a:solidFill>
                <a:schemeClr val="bg1"/>
              </a:solidFill>
              <a:latin typeface="PP Pangram Sans Semibold" panose="00000705000000000000" pitchFamily="2" charset="0"/>
            </a:rPr>
            <a:t> </a:t>
          </a:r>
          <a:r>
            <a:rPr lang="de-AT" sz="1000">
              <a:solidFill>
                <a:schemeClr val="bg1"/>
              </a:solidFill>
              <a:latin typeface="PP Pangram Sans Semibold" panose="00000705000000000000" pitchFamily="2" charset="0"/>
            </a:rPr>
            <a:t>revenues</a:t>
          </a:r>
        </a:p>
      </xdr:txBody>
    </xdr:sp>
    <xdr:clientData/>
  </xdr:twoCellAnchor>
  <xdr:twoCellAnchor>
    <xdr:from>
      <xdr:col>6</xdr:col>
      <xdr:colOff>19066</xdr:colOff>
      <xdr:row>13</xdr:row>
      <xdr:rowOff>174905</xdr:rowOff>
    </xdr:from>
    <xdr:to>
      <xdr:col>6</xdr:col>
      <xdr:colOff>556252</xdr:colOff>
      <xdr:row>15</xdr:row>
      <xdr:rowOff>38705</xdr:rowOff>
    </xdr:to>
    <xdr:sp macro="" textlink="AF25">
      <xdr:nvSpPr>
        <xdr:cNvPr id="7" name="Rechteck 6">
          <a:extLst>
            <a:ext uri="{FF2B5EF4-FFF2-40B4-BE49-F238E27FC236}">
              <a16:creationId xmlns:a16="http://schemas.microsoft.com/office/drawing/2014/main" id="{CB7DF316-5F3E-4C4F-8D57-25CD3F326441}"/>
            </a:ext>
          </a:extLst>
        </xdr:cNvPr>
        <xdr:cNvSpPr/>
      </xdr:nvSpPr>
      <xdr:spPr>
        <a:xfrm>
          <a:off x="7315216" y="2708555"/>
          <a:ext cx="537186" cy="244800"/>
        </a:xfrm>
        <a:prstGeom prst="rect">
          <a:avLst/>
        </a:prstGeom>
        <a:solidFill>
          <a:srgbClr val="FE6D73"/>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algn="ctr"/>
          <a:fld id="{64CA9966-8109-4204-AE13-9E0B2129AAA0}" type="TxLink">
            <a:rPr lang="en-US" sz="1100" b="1" i="0" u="none" strike="noStrike">
              <a:solidFill>
                <a:schemeClr val="bg1"/>
              </a:solidFill>
              <a:latin typeface="Calibri"/>
              <a:ea typeface="Calibri"/>
              <a:cs typeface="Calibri"/>
            </a:rPr>
            <a:pPr algn="ctr"/>
            <a:t>104,2</a:t>
          </a:fld>
          <a:endParaRPr lang="de-AT" sz="1000" b="1">
            <a:solidFill>
              <a:schemeClr val="bg1"/>
            </a:solidFill>
            <a:latin typeface="PP Pangram Sans Semibold" panose="00000705000000000000" pitchFamily="2" charset="0"/>
          </a:endParaRPr>
        </a:p>
      </xdr:txBody>
    </xdr:sp>
    <xdr:clientData/>
  </xdr:twoCellAnchor>
  <xdr:twoCellAnchor>
    <xdr:from>
      <xdr:col>6</xdr:col>
      <xdr:colOff>22876</xdr:colOff>
      <xdr:row>6</xdr:row>
      <xdr:rowOff>17591</xdr:rowOff>
    </xdr:from>
    <xdr:to>
      <xdr:col>6</xdr:col>
      <xdr:colOff>558157</xdr:colOff>
      <xdr:row>7</xdr:row>
      <xdr:rowOff>71891</xdr:rowOff>
    </xdr:to>
    <xdr:sp macro="" textlink="">
      <xdr:nvSpPr>
        <xdr:cNvPr id="8" name="Rechteck 7">
          <a:extLst>
            <a:ext uri="{FF2B5EF4-FFF2-40B4-BE49-F238E27FC236}">
              <a16:creationId xmlns:a16="http://schemas.microsoft.com/office/drawing/2014/main" id="{6F2D3484-46BA-43BC-B147-2D5F233284A9}"/>
            </a:ext>
          </a:extLst>
        </xdr:cNvPr>
        <xdr:cNvSpPr/>
      </xdr:nvSpPr>
      <xdr:spPr>
        <a:xfrm>
          <a:off x="7319026" y="1217741"/>
          <a:ext cx="535281" cy="244800"/>
        </a:xfrm>
        <a:prstGeom prst="rect">
          <a:avLst/>
        </a:prstGeom>
        <a:solidFill>
          <a:srgbClr val="0A4669"/>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algn="ctr"/>
          <a:r>
            <a:rPr lang="de-AT" sz="1000">
              <a:solidFill>
                <a:schemeClr val="bg1"/>
              </a:solidFill>
              <a:latin typeface="PP Pangram Sans Semibold" panose="00000705000000000000" pitchFamily="2" charset="0"/>
            </a:rPr>
            <a:t>GCA</a:t>
          </a:r>
        </a:p>
      </xdr:txBody>
    </xdr:sp>
    <xdr:clientData/>
  </xdr:twoCellAnchor>
  <xdr:twoCellAnchor>
    <xdr:from>
      <xdr:col>6</xdr:col>
      <xdr:colOff>807801</xdr:colOff>
      <xdr:row>13</xdr:row>
      <xdr:rowOff>174905</xdr:rowOff>
    </xdr:from>
    <xdr:to>
      <xdr:col>7</xdr:col>
      <xdr:colOff>488113</xdr:colOff>
      <xdr:row>15</xdr:row>
      <xdr:rowOff>38705</xdr:rowOff>
    </xdr:to>
    <xdr:sp macro="" textlink="AF18">
      <xdr:nvSpPr>
        <xdr:cNvPr id="9" name="Rechteck 8">
          <a:extLst>
            <a:ext uri="{FF2B5EF4-FFF2-40B4-BE49-F238E27FC236}">
              <a16:creationId xmlns:a16="http://schemas.microsoft.com/office/drawing/2014/main" id="{1F6B2BC5-575C-4E99-8223-6DC4FD92982D}"/>
            </a:ext>
          </a:extLst>
        </xdr:cNvPr>
        <xdr:cNvSpPr/>
      </xdr:nvSpPr>
      <xdr:spPr>
        <a:xfrm>
          <a:off x="8103951" y="2708555"/>
          <a:ext cx="518512" cy="244800"/>
        </a:xfrm>
        <a:prstGeom prst="rect">
          <a:avLst/>
        </a:prstGeom>
        <a:solidFill>
          <a:schemeClr val="accent1"/>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algn="ctr"/>
          <a:fld id="{E02D8A81-E7D6-4296-8D42-FC6AB6A4FD7B}" type="TxLink">
            <a:rPr lang="en-US" sz="1100" b="1" i="0" u="none" strike="noStrike">
              <a:solidFill>
                <a:schemeClr val="bg1"/>
              </a:solidFill>
              <a:latin typeface="Calibri"/>
              <a:ea typeface="Calibri"/>
              <a:cs typeface="Calibri"/>
            </a:rPr>
            <a:pPr algn="ctr"/>
            <a:t>54,1</a:t>
          </a:fld>
          <a:endParaRPr lang="de-AT" sz="1000" b="1">
            <a:solidFill>
              <a:schemeClr val="bg1"/>
            </a:solidFill>
            <a:latin typeface="PP Pangram Sans Semibold" panose="00000705000000000000" pitchFamily="2" charset="0"/>
          </a:endParaRPr>
        </a:p>
      </xdr:txBody>
    </xdr:sp>
    <xdr:clientData/>
  </xdr:twoCellAnchor>
  <xdr:twoCellAnchor>
    <xdr:from>
      <xdr:col>6</xdr:col>
      <xdr:colOff>805896</xdr:colOff>
      <xdr:row>6</xdr:row>
      <xdr:rowOff>17591</xdr:rowOff>
    </xdr:from>
    <xdr:to>
      <xdr:col>7</xdr:col>
      <xdr:colOff>491923</xdr:colOff>
      <xdr:row>7</xdr:row>
      <xdr:rowOff>71891</xdr:rowOff>
    </xdr:to>
    <xdr:sp macro="" textlink="">
      <xdr:nvSpPr>
        <xdr:cNvPr id="10" name="Rechteck 9">
          <a:extLst>
            <a:ext uri="{FF2B5EF4-FFF2-40B4-BE49-F238E27FC236}">
              <a16:creationId xmlns:a16="http://schemas.microsoft.com/office/drawing/2014/main" id="{D6A22D0C-4AA8-40C6-8C0B-13F6FB5F28F6}"/>
            </a:ext>
          </a:extLst>
        </xdr:cNvPr>
        <xdr:cNvSpPr/>
      </xdr:nvSpPr>
      <xdr:spPr>
        <a:xfrm>
          <a:off x="8102046" y="1217741"/>
          <a:ext cx="524227" cy="244800"/>
        </a:xfrm>
        <a:prstGeom prst="rect">
          <a:avLst/>
        </a:prstGeom>
        <a:solidFill>
          <a:srgbClr val="95B3D7"/>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algn="ctr"/>
          <a:r>
            <a:rPr lang="de-AT" sz="1000">
              <a:solidFill>
                <a:schemeClr val="bg1"/>
              </a:solidFill>
              <a:latin typeface="PP Pangram Sans Semibold" panose="00000705000000000000" pitchFamily="2" charset="0"/>
            </a:rPr>
            <a:t>ITC</a:t>
          </a:r>
        </a:p>
      </xdr:txBody>
    </xdr:sp>
    <xdr:clientData/>
  </xdr:twoCellAnchor>
  <xdr:twoCellAnchor>
    <xdr:from>
      <xdr:col>4</xdr:col>
      <xdr:colOff>238125</xdr:colOff>
      <xdr:row>6</xdr:row>
      <xdr:rowOff>25211</xdr:rowOff>
    </xdr:from>
    <xdr:to>
      <xdr:col>5</xdr:col>
      <xdr:colOff>802534</xdr:colOff>
      <xdr:row>7</xdr:row>
      <xdr:rowOff>79511</xdr:rowOff>
    </xdr:to>
    <xdr:sp macro="" textlink="">
      <xdr:nvSpPr>
        <xdr:cNvPr id="11" name="Rechteck 10">
          <a:extLst>
            <a:ext uri="{FF2B5EF4-FFF2-40B4-BE49-F238E27FC236}">
              <a16:creationId xmlns:a16="http://schemas.microsoft.com/office/drawing/2014/main" id="{B40E0886-82DB-4BD8-B605-4A20DD8C0FB6}"/>
            </a:ext>
          </a:extLst>
        </xdr:cNvPr>
        <xdr:cNvSpPr/>
      </xdr:nvSpPr>
      <xdr:spPr>
        <a:xfrm>
          <a:off x="5086350" y="1225361"/>
          <a:ext cx="1802659" cy="244800"/>
        </a:xfrm>
        <a:prstGeom prst="rect">
          <a:avLst/>
        </a:prstGeom>
        <a:no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algn="r"/>
          <a:r>
            <a:rPr lang="de-AT" sz="1000" i="1">
              <a:solidFill>
                <a:schemeClr val="bg1">
                  <a:lumMod val="50000"/>
                </a:schemeClr>
              </a:solidFill>
              <a:latin typeface="PP Pangram Sans Medium" panose="00000605000000000000" pitchFamily="2" charset="0"/>
            </a:rPr>
            <a:t>[mio. EUR]</a:t>
          </a:r>
        </a:p>
      </xdr:txBody>
    </xdr:sp>
    <xdr:clientData/>
  </xdr:twoCellAnchor>
  <xdr:twoCellAnchor>
    <xdr:from>
      <xdr:col>7</xdr:col>
      <xdr:colOff>743471</xdr:colOff>
      <xdr:row>11</xdr:row>
      <xdr:rowOff>60061</xdr:rowOff>
    </xdr:from>
    <xdr:to>
      <xdr:col>8</xdr:col>
      <xdr:colOff>363806</xdr:colOff>
      <xdr:row>12</xdr:row>
      <xdr:rowOff>114361</xdr:rowOff>
    </xdr:to>
    <xdr:sp macro="" textlink="AH15">
      <xdr:nvSpPr>
        <xdr:cNvPr id="12" name="Rechteck 11">
          <a:extLst>
            <a:ext uri="{FF2B5EF4-FFF2-40B4-BE49-F238E27FC236}">
              <a16:creationId xmlns:a16="http://schemas.microsoft.com/office/drawing/2014/main" id="{ABE05522-1C99-4842-BCE5-96196A1E9EAA}"/>
            </a:ext>
          </a:extLst>
        </xdr:cNvPr>
        <xdr:cNvSpPr/>
      </xdr:nvSpPr>
      <xdr:spPr>
        <a:xfrm>
          <a:off x="8877821" y="2212711"/>
          <a:ext cx="525210" cy="244800"/>
        </a:xfrm>
        <a:prstGeom prst="rect">
          <a:avLst/>
        </a:prstGeom>
        <a:solidFill>
          <a:schemeClr val="bg1">
            <a:lumMod val="85000"/>
          </a:schemeClr>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algn="ctr"/>
          <a:fld id="{1E91ED3C-C025-4220-ADD7-584D37840D5C}" type="TxLink">
            <a:rPr lang="en-US" sz="1100" b="0" i="0" u="none" strike="noStrike">
              <a:solidFill>
                <a:schemeClr val="bg1">
                  <a:lumMod val="50000"/>
                </a:schemeClr>
              </a:solidFill>
              <a:latin typeface="Calibri"/>
              <a:ea typeface="Calibri"/>
              <a:cs typeface="Calibri"/>
            </a:rPr>
            <a:pPr algn="ctr"/>
            <a:t>122,8</a:t>
          </a:fld>
          <a:endParaRPr lang="de-AT" sz="1000" b="0">
            <a:solidFill>
              <a:schemeClr val="bg1">
                <a:lumMod val="50000"/>
              </a:schemeClr>
            </a:solidFill>
            <a:latin typeface="PP Pangram Sans Semibold" panose="00000705000000000000" pitchFamily="2" charset="0"/>
          </a:endParaRPr>
        </a:p>
      </xdr:txBody>
    </xdr:sp>
    <xdr:clientData/>
  </xdr:twoCellAnchor>
  <xdr:twoCellAnchor>
    <xdr:from>
      <xdr:col>7</xdr:col>
      <xdr:colOff>743471</xdr:colOff>
      <xdr:row>7</xdr:row>
      <xdr:rowOff>111494</xdr:rowOff>
    </xdr:from>
    <xdr:to>
      <xdr:col>8</xdr:col>
      <xdr:colOff>363806</xdr:colOff>
      <xdr:row>8</xdr:row>
      <xdr:rowOff>165794</xdr:rowOff>
    </xdr:to>
    <xdr:sp macro="" textlink="$AF$15">
      <xdr:nvSpPr>
        <xdr:cNvPr id="13" name="Rechteck 12">
          <a:extLst>
            <a:ext uri="{FF2B5EF4-FFF2-40B4-BE49-F238E27FC236}">
              <a16:creationId xmlns:a16="http://schemas.microsoft.com/office/drawing/2014/main" id="{627B88BF-6DFB-4777-93CE-27FFDAF7F197}"/>
            </a:ext>
          </a:extLst>
        </xdr:cNvPr>
        <xdr:cNvSpPr/>
      </xdr:nvSpPr>
      <xdr:spPr>
        <a:xfrm>
          <a:off x="8877821" y="1502144"/>
          <a:ext cx="525210" cy="244800"/>
        </a:xfrm>
        <a:prstGeom prst="rect">
          <a:avLst/>
        </a:prstGeom>
        <a:solidFill>
          <a:schemeClr val="bg1">
            <a:lumMod val="85000"/>
          </a:schemeClr>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algn="ctr"/>
          <a:fld id="{B6FBF376-C168-4437-BE87-29A880111C43}" type="TxLink">
            <a:rPr lang="en-US" sz="1100" b="0" i="0" u="none" strike="noStrike">
              <a:solidFill>
                <a:schemeClr val="bg1">
                  <a:lumMod val="50000"/>
                </a:schemeClr>
              </a:solidFill>
              <a:latin typeface="Calibri"/>
              <a:ea typeface="Calibri"/>
              <a:cs typeface="Calibri"/>
            </a:rPr>
            <a:pPr algn="ctr"/>
            <a:t>177,0</a:t>
          </a:fld>
          <a:endParaRPr lang="de-AT" sz="1000" b="0">
            <a:solidFill>
              <a:schemeClr val="bg1">
                <a:lumMod val="50000"/>
              </a:schemeClr>
            </a:solidFill>
            <a:latin typeface="PP Pangram Sans Semibold" panose="00000705000000000000" pitchFamily="2" charset="0"/>
          </a:endParaRPr>
        </a:p>
      </xdr:txBody>
    </xdr:sp>
    <xdr:clientData/>
  </xdr:twoCellAnchor>
  <xdr:twoCellAnchor>
    <xdr:from>
      <xdr:col>7</xdr:col>
      <xdr:colOff>739661</xdr:colOff>
      <xdr:row>13</xdr:row>
      <xdr:rowOff>174905</xdr:rowOff>
    </xdr:from>
    <xdr:to>
      <xdr:col>8</xdr:col>
      <xdr:colOff>359996</xdr:colOff>
      <xdr:row>15</xdr:row>
      <xdr:rowOff>38705</xdr:rowOff>
    </xdr:to>
    <xdr:sp macro="" textlink="AH16">
      <xdr:nvSpPr>
        <xdr:cNvPr id="14" name="Rechteck 13">
          <a:extLst>
            <a:ext uri="{FF2B5EF4-FFF2-40B4-BE49-F238E27FC236}">
              <a16:creationId xmlns:a16="http://schemas.microsoft.com/office/drawing/2014/main" id="{500C0E40-0FA4-4EC4-8D93-2092E51A7108}"/>
            </a:ext>
          </a:extLst>
        </xdr:cNvPr>
        <xdr:cNvSpPr/>
      </xdr:nvSpPr>
      <xdr:spPr>
        <a:xfrm>
          <a:off x="8874011" y="2708555"/>
          <a:ext cx="525210" cy="244800"/>
        </a:xfrm>
        <a:prstGeom prst="rect">
          <a:avLst/>
        </a:prstGeom>
        <a:solidFill>
          <a:srgbClr val="FE6D73"/>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algn="ctr"/>
          <a:fld id="{A7C29A21-8590-42F0-843D-8FDE26AA5FB4}" type="TxLink">
            <a:rPr lang="en-US" sz="1100" b="1" i="0" u="none" strike="noStrike">
              <a:solidFill>
                <a:schemeClr val="bg1"/>
              </a:solidFill>
              <a:latin typeface="Calibri"/>
              <a:ea typeface="Calibri"/>
              <a:cs typeface="Calibri"/>
            </a:rPr>
            <a:pPr algn="ctr"/>
            <a:t>177,0</a:t>
          </a:fld>
          <a:endParaRPr lang="de-AT" sz="1000" b="1">
            <a:solidFill>
              <a:schemeClr val="bg1"/>
            </a:solidFill>
            <a:latin typeface="PP Pangram Sans Semibold" panose="00000705000000000000" pitchFamily="2" charset="0"/>
          </a:endParaRPr>
        </a:p>
      </xdr:txBody>
    </xdr:sp>
    <xdr:clientData/>
  </xdr:twoCellAnchor>
  <xdr:twoCellAnchor>
    <xdr:from>
      <xdr:col>7</xdr:col>
      <xdr:colOff>739661</xdr:colOff>
      <xdr:row>6</xdr:row>
      <xdr:rowOff>17591</xdr:rowOff>
    </xdr:from>
    <xdr:to>
      <xdr:col>8</xdr:col>
      <xdr:colOff>359996</xdr:colOff>
      <xdr:row>7</xdr:row>
      <xdr:rowOff>71891</xdr:rowOff>
    </xdr:to>
    <xdr:sp macro="" textlink="">
      <xdr:nvSpPr>
        <xdr:cNvPr id="15" name="Rechteck 14">
          <a:extLst>
            <a:ext uri="{FF2B5EF4-FFF2-40B4-BE49-F238E27FC236}">
              <a16:creationId xmlns:a16="http://schemas.microsoft.com/office/drawing/2014/main" id="{A45BD3BF-5DA2-43A2-AA8D-634D5C147C46}"/>
            </a:ext>
          </a:extLst>
        </xdr:cNvPr>
        <xdr:cNvSpPr/>
      </xdr:nvSpPr>
      <xdr:spPr>
        <a:xfrm>
          <a:off x="8874011" y="1217741"/>
          <a:ext cx="525210" cy="244800"/>
        </a:xfrm>
        <a:prstGeom prst="rect">
          <a:avLst/>
        </a:prstGeom>
        <a:solidFill>
          <a:srgbClr val="0A4669"/>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algn="ctr"/>
          <a:r>
            <a:rPr lang="de-AT" sz="1000">
              <a:solidFill>
                <a:schemeClr val="bg1"/>
              </a:solidFill>
              <a:latin typeface="PP Pangram Sans Semibold" panose="00000705000000000000" pitchFamily="2" charset="0"/>
            </a:rPr>
            <a:t>TAG</a:t>
          </a:r>
        </a:p>
      </xdr:txBody>
    </xdr:sp>
    <xdr:clientData/>
  </xdr:twoCellAnchor>
  <xdr:twoCellAnchor>
    <xdr:from>
      <xdr:col>4</xdr:col>
      <xdr:colOff>247650</xdr:colOff>
      <xdr:row>17</xdr:row>
      <xdr:rowOff>96159</xdr:rowOff>
    </xdr:from>
    <xdr:to>
      <xdr:col>5</xdr:col>
      <xdr:colOff>282879</xdr:colOff>
      <xdr:row>18</xdr:row>
      <xdr:rowOff>150459</xdr:rowOff>
    </xdr:to>
    <xdr:sp macro="" textlink="">
      <xdr:nvSpPr>
        <xdr:cNvPr id="16" name="Rechteck 15">
          <a:extLst>
            <a:ext uri="{FF2B5EF4-FFF2-40B4-BE49-F238E27FC236}">
              <a16:creationId xmlns:a16="http://schemas.microsoft.com/office/drawing/2014/main" id="{20B8AE76-3F5A-40A1-BD64-03A6AA9A4067}"/>
            </a:ext>
          </a:extLst>
        </xdr:cNvPr>
        <xdr:cNvSpPr/>
      </xdr:nvSpPr>
      <xdr:spPr>
        <a:xfrm>
          <a:off x="5095875" y="3391809"/>
          <a:ext cx="1273479" cy="244800"/>
        </a:xfrm>
        <a:prstGeom prst="rect">
          <a:avLst/>
        </a:prstGeom>
        <a:solidFill>
          <a:srgbClr val="0A4669"/>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r>
            <a:rPr lang="de-AT" sz="1000" kern="1200">
              <a:solidFill>
                <a:schemeClr val="bg1"/>
              </a:solidFill>
              <a:latin typeface="PP Pangram Sans Semibold" panose="00000705000000000000" pitchFamily="2" charset="0"/>
              <a:ea typeface="+mn-ea"/>
              <a:cs typeface="+mn-cs"/>
            </a:rPr>
            <a:t>Cap</a:t>
          </a:r>
          <a:r>
            <a:rPr lang="de-AT" sz="1000">
              <a:solidFill>
                <a:schemeClr val="bg1"/>
              </a:solidFill>
              <a:latin typeface="PP Pangram Sans Semibold" panose="00000705000000000000" pitchFamily="2" charset="0"/>
            </a:rPr>
            <a:t>. E/X split</a:t>
          </a:r>
        </a:p>
      </xdr:txBody>
    </xdr:sp>
    <xdr:clientData/>
  </xdr:twoCellAnchor>
  <xdr:twoCellAnchor>
    <xdr:from>
      <xdr:col>5</xdr:col>
      <xdr:colOff>339587</xdr:colOff>
      <xdr:row>17</xdr:row>
      <xdr:rowOff>96159</xdr:rowOff>
    </xdr:from>
    <xdr:to>
      <xdr:col>5</xdr:col>
      <xdr:colOff>892105</xdr:colOff>
      <xdr:row>18</xdr:row>
      <xdr:rowOff>150459</xdr:rowOff>
    </xdr:to>
    <xdr:sp macro="" textlink="$C$21">
      <xdr:nvSpPr>
        <xdr:cNvPr id="17" name="Rechteck 16">
          <a:extLst>
            <a:ext uri="{FF2B5EF4-FFF2-40B4-BE49-F238E27FC236}">
              <a16:creationId xmlns:a16="http://schemas.microsoft.com/office/drawing/2014/main" id="{AD69E2E0-630D-4247-99D9-6CF8D487A028}"/>
            </a:ext>
          </a:extLst>
        </xdr:cNvPr>
        <xdr:cNvSpPr/>
      </xdr:nvSpPr>
      <xdr:spPr>
        <a:xfrm>
          <a:off x="6426062" y="3391809"/>
          <a:ext cx="552518" cy="244800"/>
        </a:xfrm>
        <a:prstGeom prst="rect">
          <a:avLst/>
        </a:prstGeom>
        <a:solidFill>
          <a:srgbClr val="0A4669"/>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algn="ctr"/>
          <a:fld id="{FF119343-CAB5-45BA-AFDE-91D7820D106C}" type="TxLink">
            <a:rPr lang="en-US" sz="1100" b="1" i="0" u="none" strike="noStrike">
              <a:solidFill>
                <a:schemeClr val="bg1"/>
              </a:solidFill>
              <a:latin typeface="Calibri"/>
              <a:ea typeface="Calibri"/>
              <a:cs typeface="Calibri"/>
            </a:rPr>
            <a:pPr algn="ctr"/>
            <a:t>26,4%</a:t>
          </a:fld>
          <a:endParaRPr lang="de-AT" sz="1000">
            <a:solidFill>
              <a:schemeClr val="bg1"/>
            </a:solidFill>
            <a:latin typeface="PP Pangram Sans Semibold" panose="00000705000000000000" pitchFamily="2" charset="0"/>
          </a:endParaRPr>
        </a:p>
      </xdr:txBody>
    </xdr:sp>
    <xdr:clientData/>
  </xdr:twoCellAnchor>
  <xdr:twoCellAnchor>
    <xdr:from>
      <xdr:col>6</xdr:col>
      <xdr:colOff>262842</xdr:colOff>
      <xdr:row>17</xdr:row>
      <xdr:rowOff>96159</xdr:rowOff>
    </xdr:from>
    <xdr:to>
      <xdr:col>7</xdr:col>
      <xdr:colOff>679360</xdr:colOff>
      <xdr:row>18</xdr:row>
      <xdr:rowOff>150459</xdr:rowOff>
    </xdr:to>
    <xdr:sp macro="" textlink="">
      <xdr:nvSpPr>
        <xdr:cNvPr id="18" name="Rechteck 17">
          <a:extLst>
            <a:ext uri="{FF2B5EF4-FFF2-40B4-BE49-F238E27FC236}">
              <a16:creationId xmlns:a16="http://schemas.microsoft.com/office/drawing/2014/main" id="{90B3DFF0-12B7-4054-AF67-E4925F1AA1E6}"/>
            </a:ext>
          </a:extLst>
        </xdr:cNvPr>
        <xdr:cNvSpPr/>
      </xdr:nvSpPr>
      <xdr:spPr>
        <a:xfrm>
          <a:off x="7558992" y="3391809"/>
          <a:ext cx="1254718" cy="244800"/>
        </a:xfrm>
        <a:prstGeom prst="rect">
          <a:avLst/>
        </a:prstGeom>
        <a:solidFill>
          <a:srgbClr val="0A4669"/>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r>
            <a:rPr lang="de-AT" sz="1000">
              <a:solidFill>
                <a:schemeClr val="bg1"/>
              </a:solidFill>
              <a:latin typeface="PP Pangram Sans Semibold" panose="00000705000000000000" pitchFamily="2" charset="0"/>
            </a:rPr>
            <a:t>CAA capacity</a:t>
          </a:r>
        </a:p>
      </xdr:txBody>
    </xdr:sp>
    <xdr:clientData/>
  </xdr:twoCellAnchor>
  <xdr:twoCellAnchor>
    <xdr:from>
      <xdr:col>7</xdr:col>
      <xdr:colOff>723111</xdr:colOff>
      <xdr:row>17</xdr:row>
      <xdr:rowOff>96159</xdr:rowOff>
    </xdr:from>
    <xdr:to>
      <xdr:col>8</xdr:col>
      <xdr:colOff>359996</xdr:colOff>
      <xdr:row>18</xdr:row>
      <xdr:rowOff>150459</xdr:rowOff>
    </xdr:to>
    <xdr:sp macro="" textlink="$C$22">
      <xdr:nvSpPr>
        <xdr:cNvPr id="19" name="Rechteck 18">
          <a:extLst>
            <a:ext uri="{FF2B5EF4-FFF2-40B4-BE49-F238E27FC236}">
              <a16:creationId xmlns:a16="http://schemas.microsoft.com/office/drawing/2014/main" id="{91E8DF82-7776-4C1F-A3A6-8298624AF25C}"/>
            </a:ext>
          </a:extLst>
        </xdr:cNvPr>
        <xdr:cNvSpPr/>
      </xdr:nvSpPr>
      <xdr:spPr>
        <a:xfrm>
          <a:off x="8857461" y="3391809"/>
          <a:ext cx="541760" cy="244800"/>
        </a:xfrm>
        <a:prstGeom prst="rect">
          <a:avLst/>
        </a:prstGeom>
        <a:solidFill>
          <a:srgbClr val="0A4669"/>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algn="ctr"/>
          <a:fld id="{B310B016-8D2F-4BE9-988D-D24B679BF6D7}" type="TxLink">
            <a:rPr lang="en-US" sz="1100" b="1" i="0" u="none" strike="noStrike">
              <a:solidFill>
                <a:schemeClr val="bg1"/>
              </a:solidFill>
              <a:latin typeface="Calibri"/>
              <a:ea typeface="Calibri"/>
              <a:cs typeface="Calibri"/>
            </a:rPr>
            <a:pPr algn="ctr"/>
            <a:t>0,8%</a:t>
          </a:fld>
          <a:endParaRPr lang="de-AT" sz="1000">
            <a:solidFill>
              <a:schemeClr val="bg1"/>
            </a:solidFill>
            <a:latin typeface="PP Pangram Sans Semibold" panose="00000705000000000000" pitchFamily="2" charset="0"/>
          </a:endParaRPr>
        </a:p>
      </xdr:txBody>
    </xdr:sp>
    <xdr:clientData/>
  </xdr:twoCellAnchor>
  <xdr:twoCellAnchor>
    <xdr:from>
      <xdr:col>23</xdr:col>
      <xdr:colOff>228600</xdr:colOff>
      <xdr:row>36</xdr:row>
      <xdr:rowOff>38847</xdr:rowOff>
    </xdr:from>
    <xdr:to>
      <xdr:col>26</xdr:col>
      <xdr:colOff>840441</xdr:colOff>
      <xdr:row>41</xdr:row>
      <xdr:rowOff>156883</xdr:rowOff>
    </xdr:to>
    <xdr:sp macro="" textlink="">
      <xdr:nvSpPr>
        <xdr:cNvPr id="20" name="Textfeld 19">
          <a:extLst>
            <a:ext uri="{FF2B5EF4-FFF2-40B4-BE49-F238E27FC236}">
              <a16:creationId xmlns:a16="http://schemas.microsoft.com/office/drawing/2014/main" id="{9B335E1E-E7CB-47AA-9724-97C84CDF4338}"/>
            </a:ext>
          </a:extLst>
        </xdr:cNvPr>
        <xdr:cNvSpPr txBox="1"/>
      </xdr:nvSpPr>
      <xdr:spPr>
        <a:xfrm>
          <a:off x="22517100" y="6963522"/>
          <a:ext cx="3212166" cy="107053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AT" sz="800" i="1"/>
            <a:t>calculations set</a:t>
          </a:r>
          <a:r>
            <a:rPr lang="de-AT" sz="800" i="1" baseline="0"/>
            <a:t> up only for case that GCA is providing the ITC to TAG</a:t>
          </a:r>
          <a:endParaRPr lang="de-AT" sz="800" i="1"/>
        </a:p>
      </xdr:txBody>
    </xdr:sp>
    <xdr:clientData/>
  </xdr:twoCellAnchor>
  <xdr:twoCellAnchor>
    <xdr:from>
      <xdr:col>4</xdr:col>
      <xdr:colOff>243840</xdr:colOff>
      <xdr:row>9</xdr:row>
      <xdr:rowOff>21997</xdr:rowOff>
    </xdr:from>
    <xdr:to>
      <xdr:col>5</xdr:col>
      <xdr:colOff>893490</xdr:colOff>
      <xdr:row>10</xdr:row>
      <xdr:rowOff>76297</xdr:rowOff>
    </xdr:to>
    <xdr:sp macro="" textlink="">
      <xdr:nvSpPr>
        <xdr:cNvPr id="21" name="Rechteck 20">
          <a:extLst>
            <a:ext uri="{FF2B5EF4-FFF2-40B4-BE49-F238E27FC236}">
              <a16:creationId xmlns:a16="http://schemas.microsoft.com/office/drawing/2014/main" id="{9647783A-A681-4561-9182-C253D37CF42F}"/>
            </a:ext>
          </a:extLst>
        </xdr:cNvPr>
        <xdr:cNvSpPr/>
      </xdr:nvSpPr>
      <xdr:spPr>
        <a:xfrm>
          <a:off x="5092065" y="1793647"/>
          <a:ext cx="1887900" cy="244800"/>
        </a:xfrm>
        <a:prstGeom prst="rect">
          <a:avLst/>
        </a:prstGeom>
        <a:solidFill>
          <a:srgbClr val="0A4669"/>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r>
            <a:rPr lang="de-AT" sz="1000">
              <a:solidFill>
                <a:schemeClr val="bg1"/>
              </a:solidFill>
              <a:latin typeface="PP Pangram Sans Semibold" panose="00000705000000000000" pitchFamily="2" charset="0"/>
            </a:rPr>
            <a:t>Planned capacity revenues</a:t>
          </a:r>
        </a:p>
      </xdr:txBody>
    </xdr:sp>
    <xdr:clientData/>
  </xdr:twoCellAnchor>
  <xdr:twoCellAnchor>
    <xdr:from>
      <xdr:col>6</xdr:col>
      <xdr:colOff>22876</xdr:colOff>
      <xdr:row>9</xdr:row>
      <xdr:rowOff>21997</xdr:rowOff>
    </xdr:from>
    <xdr:to>
      <xdr:col>6</xdr:col>
      <xdr:colOff>558157</xdr:colOff>
      <xdr:row>10</xdr:row>
      <xdr:rowOff>76297</xdr:rowOff>
    </xdr:to>
    <xdr:sp macro="" textlink="AF21">
      <xdr:nvSpPr>
        <xdr:cNvPr id="22" name="Rechteck 21">
          <a:extLst>
            <a:ext uri="{FF2B5EF4-FFF2-40B4-BE49-F238E27FC236}">
              <a16:creationId xmlns:a16="http://schemas.microsoft.com/office/drawing/2014/main" id="{5691DA2F-07B0-4CF1-8344-1B310BDBCA6B}"/>
            </a:ext>
          </a:extLst>
        </xdr:cNvPr>
        <xdr:cNvSpPr/>
      </xdr:nvSpPr>
      <xdr:spPr>
        <a:xfrm>
          <a:off x="7319026" y="1793647"/>
          <a:ext cx="535281" cy="244800"/>
        </a:xfrm>
        <a:prstGeom prst="rect">
          <a:avLst/>
        </a:prstGeom>
        <a:solidFill>
          <a:schemeClr val="bg1">
            <a:lumMod val="85000"/>
          </a:schemeClr>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marL="0" indent="0" algn="ctr" defTabSz="144000" rtl="0" eaLnBrk="1" latinLnBrk="0" hangingPunct="1"/>
          <a:fld id="{583443FB-B6BC-404B-ACA9-C6A32B0A5DA4}" type="TxLink">
            <a:rPr lang="en-US" sz="1100" b="0" i="0" u="none" strike="noStrike" kern="1200">
              <a:solidFill>
                <a:schemeClr val="bg1">
                  <a:lumMod val="50000"/>
                </a:schemeClr>
              </a:solidFill>
              <a:latin typeface="Calibri"/>
              <a:ea typeface="Calibri"/>
              <a:cs typeface="Calibri"/>
            </a:rPr>
            <a:pPr marL="0" indent="0" algn="ctr" defTabSz="144000" rtl="0" eaLnBrk="1" latinLnBrk="0" hangingPunct="1"/>
            <a:t>158,3</a:t>
          </a:fld>
          <a:endParaRPr lang="de-AT" sz="1100" b="0" i="0" u="none" strike="noStrike" kern="1200">
            <a:solidFill>
              <a:schemeClr val="bg1">
                <a:lumMod val="50000"/>
              </a:schemeClr>
            </a:solidFill>
            <a:latin typeface="Calibri"/>
            <a:ea typeface="Calibri"/>
            <a:cs typeface="Calibri"/>
          </a:endParaRPr>
        </a:p>
      </xdr:txBody>
    </xdr:sp>
    <xdr:clientData/>
  </xdr:twoCellAnchor>
  <xdr:twoCellAnchor>
    <xdr:from>
      <xdr:col>6</xdr:col>
      <xdr:colOff>809706</xdr:colOff>
      <xdr:row>9</xdr:row>
      <xdr:rowOff>21997</xdr:rowOff>
    </xdr:from>
    <xdr:to>
      <xdr:col>7</xdr:col>
      <xdr:colOff>488113</xdr:colOff>
      <xdr:row>10</xdr:row>
      <xdr:rowOff>76297</xdr:rowOff>
    </xdr:to>
    <xdr:sp macro="" textlink="AF17">
      <xdr:nvSpPr>
        <xdr:cNvPr id="23" name="Rechteck 22">
          <a:extLst>
            <a:ext uri="{FF2B5EF4-FFF2-40B4-BE49-F238E27FC236}">
              <a16:creationId xmlns:a16="http://schemas.microsoft.com/office/drawing/2014/main" id="{76199A3B-4DD5-4BE8-A372-FC009228AE1A}"/>
            </a:ext>
          </a:extLst>
        </xdr:cNvPr>
        <xdr:cNvSpPr/>
      </xdr:nvSpPr>
      <xdr:spPr>
        <a:xfrm>
          <a:off x="8105856" y="1793647"/>
          <a:ext cx="516607" cy="244800"/>
        </a:xfrm>
        <a:prstGeom prst="rect">
          <a:avLst/>
        </a:prstGeom>
        <a:solidFill>
          <a:srgbClr val="DCE6F2"/>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algn="ctr"/>
          <a:fld id="{24582AEA-4C6B-4D4F-B4B8-5EEACC623E44}" type="TxLink">
            <a:rPr lang="en-US" sz="1100" b="0" i="0" u="none" strike="noStrike">
              <a:solidFill>
                <a:schemeClr val="bg1">
                  <a:lumMod val="50000"/>
                </a:schemeClr>
              </a:solidFill>
              <a:latin typeface="Calibri"/>
              <a:ea typeface="Calibri"/>
              <a:cs typeface="Calibri"/>
            </a:rPr>
            <a:pPr algn="ctr"/>
            <a:t>54,1</a:t>
          </a:fld>
          <a:endParaRPr lang="de-AT" sz="1000" b="0">
            <a:solidFill>
              <a:schemeClr val="bg1">
                <a:lumMod val="50000"/>
              </a:schemeClr>
            </a:solidFill>
            <a:latin typeface="PP Pangram Sans Semibold" panose="00000705000000000000" pitchFamily="2" charset="0"/>
          </a:endParaRPr>
        </a:p>
      </xdr:txBody>
    </xdr:sp>
    <xdr:clientData/>
  </xdr:twoCellAnchor>
  <xdr:twoCellAnchor>
    <xdr:from>
      <xdr:col>7</xdr:col>
      <xdr:colOff>739661</xdr:colOff>
      <xdr:row>9</xdr:row>
      <xdr:rowOff>21997</xdr:rowOff>
    </xdr:from>
    <xdr:to>
      <xdr:col>8</xdr:col>
      <xdr:colOff>359996</xdr:colOff>
      <xdr:row>10</xdr:row>
      <xdr:rowOff>76297</xdr:rowOff>
    </xdr:to>
    <xdr:sp macro="" textlink="AF22">
      <xdr:nvSpPr>
        <xdr:cNvPr id="24" name="Rechteck 23">
          <a:extLst>
            <a:ext uri="{FF2B5EF4-FFF2-40B4-BE49-F238E27FC236}">
              <a16:creationId xmlns:a16="http://schemas.microsoft.com/office/drawing/2014/main" id="{4B0F7CC3-C75C-47D4-9B18-8FBD1FC647ED}"/>
            </a:ext>
          </a:extLst>
        </xdr:cNvPr>
        <xdr:cNvSpPr/>
      </xdr:nvSpPr>
      <xdr:spPr>
        <a:xfrm>
          <a:off x="8874011" y="1793647"/>
          <a:ext cx="525210" cy="244800"/>
        </a:xfrm>
        <a:prstGeom prst="rect">
          <a:avLst/>
        </a:prstGeom>
        <a:solidFill>
          <a:schemeClr val="bg1">
            <a:lumMod val="85000"/>
          </a:schemeClr>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marL="0" indent="0" algn="ctr" defTabSz="144000" rtl="0" eaLnBrk="1" latinLnBrk="0" hangingPunct="1"/>
          <a:fld id="{E39E1A8C-92B8-4D86-8F27-B5E4B5E775B9}" type="TxLink">
            <a:rPr lang="en-US" sz="1100" b="0" i="0" u="none" strike="noStrike" kern="1200">
              <a:solidFill>
                <a:schemeClr val="bg1">
                  <a:lumMod val="50000"/>
                </a:schemeClr>
              </a:solidFill>
              <a:latin typeface="Calibri"/>
              <a:ea typeface="Calibri"/>
              <a:cs typeface="Calibri"/>
            </a:rPr>
            <a:pPr marL="0" indent="0" algn="ctr" defTabSz="144000" rtl="0" eaLnBrk="1" latinLnBrk="0" hangingPunct="1"/>
            <a:t>122,8</a:t>
          </a:fld>
          <a:endParaRPr lang="de-AT" sz="1100" b="0" i="0" u="none" strike="noStrike" kern="1200">
            <a:solidFill>
              <a:schemeClr val="bg1">
                <a:lumMod val="50000"/>
              </a:schemeClr>
            </a:solidFill>
            <a:latin typeface="Calibri"/>
            <a:ea typeface="Calibri"/>
            <a:cs typeface="Calibri"/>
          </a:endParaRPr>
        </a:p>
      </xdr:txBody>
    </xdr:sp>
    <xdr:clientData/>
  </xdr:twoCellAnchor>
  <xdr:twoCellAnchor>
    <xdr:from>
      <xdr:col>6</xdr:col>
      <xdr:colOff>556252</xdr:colOff>
      <xdr:row>8</xdr:row>
      <xdr:rowOff>43394</xdr:rowOff>
    </xdr:from>
    <xdr:to>
      <xdr:col>7</xdr:col>
      <xdr:colOff>223086</xdr:colOff>
      <xdr:row>9</xdr:row>
      <xdr:rowOff>21997</xdr:rowOff>
    </xdr:to>
    <xdr:cxnSp macro="">
      <xdr:nvCxnSpPr>
        <xdr:cNvPr id="25" name="Verbinder: gewinkelt 24">
          <a:extLst>
            <a:ext uri="{FF2B5EF4-FFF2-40B4-BE49-F238E27FC236}">
              <a16:creationId xmlns:a16="http://schemas.microsoft.com/office/drawing/2014/main" id="{B48AFB03-C94A-4217-9DB2-184346696498}"/>
            </a:ext>
          </a:extLst>
        </xdr:cNvPr>
        <xdr:cNvCxnSpPr>
          <a:stCxn id="5" idx="3"/>
          <a:endCxn id="23" idx="0"/>
        </xdr:cNvCxnSpPr>
      </xdr:nvCxnSpPr>
      <xdr:spPr>
        <a:xfrm>
          <a:off x="7852402" y="1624544"/>
          <a:ext cx="505034" cy="169103"/>
        </a:xfrm>
        <a:prstGeom prst="bentConnector2">
          <a:avLst/>
        </a:prstGeom>
        <a:ln>
          <a:solidFill>
            <a:schemeClr val="bg1">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223087</xdr:colOff>
      <xdr:row>8</xdr:row>
      <xdr:rowOff>43393</xdr:rowOff>
    </xdr:from>
    <xdr:to>
      <xdr:col>7</xdr:col>
      <xdr:colOff>743472</xdr:colOff>
      <xdr:row>9</xdr:row>
      <xdr:rowOff>21996</xdr:rowOff>
    </xdr:to>
    <xdr:cxnSp macro="">
      <xdr:nvCxnSpPr>
        <xdr:cNvPr id="26" name="Verbinder: gewinkelt 25">
          <a:extLst>
            <a:ext uri="{FF2B5EF4-FFF2-40B4-BE49-F238E27FC236}">
              <a16:creationId xmlns:a16="http://schemas.microsoft.com/office/drawing/2014/main" id="{6B8182A7-53DA-4410-82DB-A11FBA5DC218}"/>
            </a:ext>
          </a:extLst>
        </xdr:cNvPr>
        <xdr:cNvCxnSpPr>
          <a:stCxn id="13" idx="1"/>
          <a:endCxn id="23" idx="0"/>
        </xdr:cNvCxnSpPr>
      </xdr:nvCxnSpPr>
      <xdr:spPr>
        <a:xfrm rot="10800000" flipV="1">
          <a:off x="8357437" y="1624543"/>
          <a:ext cx="520385" cy="169103"/>
        </a:xfrm>
        <a:prstGeom prst="bentConnector2">
          <a:avLst/>
        </a:prstGeom>
        <a:ln>
          <a:solidFill>
            <a:schemeClr val="bg1">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243840</xdr:colOff>
      <xdr:row>15</xdr:row>
      <xdr:rowOff>78441</xdr:rowOff>
    </xdr:from>
    <xdr:to>
      <xdr:col>5</xdr:col>
      <xdr:colOff>891540</xdr:colOff>
      <xdr:row>16</xdr:row>
      <xdr:rowOff>132741</xdr:rowOff>
    </xdr:to>
    <xdr:sp macro="" textlink="">
      <xdr:nvSpPr>
        <xdr:cNvPr id="27" name="Rechteck 26">
          <a:extLst>
            <a:ext uri="{FF2B5EF4-FFF2-40B4-BE49-F238E27FC236}">
              <a16:creationId xmlns:a16="http://schemas.microsoft.com/office/drawing/2014/main" id="{AD587AE8-287E-48F7-8F44-1419719BC69B}"/>
            </a:ext>
          </a:extLst>
        </xdr:cNvPr>
        <xdr:cNvSpPr/>
      </xdr:nvSpPr>
      <xdr:spPr>
        <a:xfrm>
          <a:off x="5092065" y="2993091"/>
          <a:ext cx="1885950" cy="244800"/>
        </a:xfrm>
        <a:prstGeom prst="rect">
          <a:avLst/>
        </a:prstGeom>
        <a:solidFill>
          <a:srgbClr val="0A4669"/>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r>
            <a:rPr lang="de-AT" sz="1000">
              <a:solidFill>
                <a:schemeClr val="bg1"/>
              </a:solidFill>
              <a:latin typeface="PP Pangram Sans Semibold" panose="00000705000000000000" pitchFamily="2" charset="0"/>
            </a:rPr>
            <a:t>Delta</a:t>
          </a:r>
        </a:p>
      </xdr:txBody>
    </xdr:sp>
    <xdr:clientData/>
  </xdr:twoCellAnchor>
  <xdr:twoCellAnchor>
    <xdr:from>
      <xdr:col>6</xdr:col>
      <xdr:colOff>19066</xdr:colOff>
      <xdr:row>15</xdr:row>
      <xdr:rowOff>78441</xdr:rowOff>
    </xdr:from>
    <xdr:to>
      <xdr:col>6</xdr:col>
      <xdr:colOff>556252</xdr:colOff>
      <xdr:row>16</xdr:row>
      <xdr:rowOff>132741</xdr:rowOff>
    </xdr:to>
    <xdr:sp macro="" textlink="AF26">
      <xdr:nvSpPr>
        <xdr:cNvPr id="28" name="Rechteck 27">
          <a:extLst>
            <a:ext uri="{FF2B5EF4-FFF2-40B4-BE49-F238E27FC236}">
              <a16:creationId xmlns:a16="http://schemas.microsoft.com/office/drawing/2014/main" id="{70E7AE65-3F93-47CD-B5EC-C056E3D6FF90}"/>
            </a:ext>
          </a:extLst>
        </xdr:cNvPr>
        <xdr:cNvSpPr/>
      </xdr:nvSpPr>
      <xdr:spPr>
        <a:xfrm>
          <a:off x="7315216" y="2993091"/>
          <a:ext cx="537186" cy="244800"/>
        </a:xfrm>
        <a:prstGeom prst="rect">
          <a:avLst/>
        </a:prstGeom>
        <a:solidFill>
          <a:schemeClr val="bg1">
            <a:lumMod val="85000"/>
          </a:schemeClr>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marL="0" indent="0" algn="ctr" defTabSz="144000" rtl="0" eaLnBrk="1" latinLnBrk="0" hangingPunct="1"/>
          <a:fld id="{C62DB72E-5178-4549-AEFC-A574F2CAF727}" type="TxLink">
            <a:rPr lang="en-US" sz="1100" b="0" i="0" u="none" strike="noStrike" kern="1200">
              <a:solidFill>
                <a:schemeClr val="bg1">
                  <a:lumMod val="50000"/>
                </a:schemeClr>
              </a:solidFill>
              <a:latin typeface="Calibri"/>
              <a:ea typeface="Calibri"/>
              <a:cs typeface="Calibri"/>
            </a:rPr>
            <a:pPr marL="0" indent="0" algn="ctr" defTabSz="144000" rtl="0" eaLnBrk="1" latinLnBrk="0" hangingPunct="1"/>
            <a:t>0,0</a:t>
          </a:fld>
          <a:endParaRPr lang="de-AT" sz="1100" b="0" i="0" u="none" strike="noStrike" kern="1200">
            <a:solidFill>
              <a:schemeClr val="bg1">
                <a:lumMod val="50000"/>
              </a:schemeClr>
            </a:solidFill>
            <a:latin typeface="Calibri"/>
            <a:ea typeface="Calibri"/>
            <a:cs typeface="Calibri"/>
          </a:endParaRPr>
        </a:p>
      </xdr:txBody>
    </xdr:sp>
    <xdr:clientData/>
  </xdr:twoCellAnchor>
  <xdr:twoCellAnchor>
    <xdr:from>
      <xdr:col>7</xdr:col>
      <xdr:colOff>743471</xdr:colOff>
      <xdr:row>15</xdr:row>
      <xdr:rowOff>78441</xdr:rowOff>
    </xdr:from>
    <xdr:to>
      <xdr:col>8</xdr:col>
      <xdr:colOff>363806</xdr:colOff>
      <xdr:row>16</xdr:row>
      <xdr:rowOff>132741</xdr:rowOff>
    </xdr:to>
    <xdr:sp macro="" textlink="AH17">
      <xdr:nvSpPr>
        <xdr:cNvPr id="29" name="Rechteck 28">
          <a:extLst>
            <a:ext uri="{FF2B5EF4-FFF2-40B4-BE49-F238E27FC236}">
              <a16:creationId xmlns:a16="http://schemas.microsoft.com/office/drawing/2014/main" id="{22CBD439-CE5C-47BB-81B5-F7EBC53FF7CE}"/>
            </a:ext>
          </a:extLst>
        </xdr:cNvPr>
        <xdr:cNvSpPr/>
      </xdr:nvSpPr>
      <xdr:spPr>
        <a:xfrm>
          <a:off x="8877821" y="2993091"/>
          <a:ext cx="525210" cy="244800"/>
        </a:xfrm>
        <a:prstGeom prst="rect">
          <a:avLst/>
        </a:prstGeom>
        <a:solidFill>
          <a:schemeClr val="bg1">
            <a:lumMod val="85000"/>
          </a:schemeClr>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marL="0" indent="0" algn="ctr" defTabSz="144000" rtl="0" eaLnBrk="1" latinLnBrk="0" hangingPunct="1"/>
          <a:fld id="{D1C56725-558D-461C-B3D3-99B8AFED2099}" type="TxLink">
            <a:rPr lang="en-US" sz="1100" b="0" i="0" u="none" strike="noStrike" kern="1200">
              <a:solidFill>
                <a:schemeClr val="bg1">
                  <a:lumMod val="50000"/>
                </a:schemeClr>
              </a:solidFill>
              <a:latin typeface="Calibri"/>
              <a:ea typeface="Calibri"/>
              <a:cs typeface="Calibri"/>
            </a:rPr>
            <a:pPr marL="0" indent="0" algn="ctr" defTabSz="144000" rtl="0" eaLnBrk="1" latinLnBrk="0" hangingPunct="1"/>
            <a:t>0,0</a:t>
          </a:fld>
          <a:endParaRPr lang="de-AT" sz="1100" b="0" i="0" u="none" strike="noStrike" kern="1200">
            <a:solidFill>
              <a:schemeClr val="bg1">
                <a:lumMod val="50000"/>
              </a:schemeClr>
            </a:solidFill>
            <a:latin typeface="Calibri"/>
            <a:ea typeface="Calibri"/>
            <a:cs typeface="Calibri"/>
          </a:endParaRPr>
        </a:p>
      </xdr:txBody>
    </xdr:sp>
    <xdr:clientData/>
  </xdr:twoCellAnchor>
  <xdr:twoCellAnchor>
    <xdr:from>
      <xdr:col>6</xdr:col>
      <xdr:colOff>846017</xdr:colOff>
      <xdr:row>12</xdr:row>
      <xdr:rowOff>20731</xdr:rowOff>
    </xdr:from>
    <xdr:to>
      <xdr:col>7</xdr:col>
      <xdr:colOff>603257</xdr:colOff>
      <xdr:row>13</xdr:row>
      <xdr:rowOff>75031</xdr:rowOff>
    </xdr:to>
    <xdr:sp macro="" textlink="AF19">
      <xdr:nvSpPr>
        <xdr:cNvPr id="30" name="Rechteck 29">
          <a:extLst>
            <a:ext uri="{FF2B5EF4-FFF2-40B4-BE49-F238E27FC236}">
              <a16:creationId xmlns:a16="http://schemas.microsoft.com/office/drawing/2014/main" id="{0CBEEB21-45FA-47A0-A3AA-8F7D19990F42}"/>
            </a:ext>
          </a:extLst>
        </xdr:cNvPr>
        <xdr:cNvSpPr/>
      </xdr:nvSpPr>
      <xdr:spPr>
        <a:xfrm>
          <a:off x="8132642" y="2363881"/>
          <a:ext cx="604965" cy="244800"/>
        </a:xfrm>
        <a:prstGeom prst="rect">
          <a:avLst/>
        </a:prstGeom>
        <a:no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marL="0" indent="0" algn="r" defTabSz="144000" rtl="0" eaLnBrk="1" latinLnBrk="0" hangingPunct="1"/>
          <a:fld id="{A21DC994-4EC4-4308-9CF4-91B5E97C9965}" type="TxLink">
            <a:rPr lang="en-US" sz="1100" b="0" i="0" u="none" strike="noStrike" kern="1200">
              <a:solidFill>
                <a:schemeClr val="bg1">
                  <a:lumMod val="50000"/>
                </a:schemeClr>
              </a:solidFill>
              <a:latin typeface="Calibri"/>
              <a:ea typeface="Calibri"/>
              <a:cs typeface="Calibri"/>
            </a:rPr>
            <a:pPr marL="0" indent="0" algn="r" defTabSz="144000" rtl="0" eaLnBrk="1" latinLnBrk="0" hangingPunct="1"/>
            <a:t>0,0</a:t>
          </a:fld>
          <a:endParaRPr lang="de-AT" sz="1100" b="0" i="0" u="none" strike="noStrike" kern="1200">
            <a:solidFill>
              <a:schemeClr val="bg1">
                <a:lumMod val="50000"/>
              </a:schemeClr>
            </a:solidFill>
            <a:latin typeface="Calibri"/>
            <a:ea typeface="Calibri"/>
            <a:cs typeface="Calibri"/>
          </a:endParaRPr>
        </a:p>
      </xdr:txBody>
    </xdr:sp>
    <xdr:clientData/>
  </xdr:twoCellAnchor>
  <xdr:twoCellAnchor>
    <xdr:from>
      <xdr:col>7</xdr:col>
      <xdr:colOff>222134</xdr:colOff>
      <xdr:row>10</xdr:row>
      <xdr:rowOff>76297</xdr:rowOff>
    </xdr:from>
    <xdr:to>
      <xdr:col>7</xdr:col>
      <xdr:colOff>223086</xdr:colOff>
      <xdr:row>13</xdr:row>
      <xdr:rowOff>174905</xdr:rowOff>
    </xdr:to>
    <xdr:cxnSp macro="">
      <xdr:nvCxnSpPr>
        <xdr:cNvPr id="31" name="Gerade Verbindung mit Pfeil 30">
          <a:extLst>
            <a:ext uri="{FF2B5EF4-FFF2-40B4-BE49-F238E27FC236}">
              <a16:creationId xmlns:a16="http://schemas.microsoft.com/office/drawing/2014/main" id="{6B5BB66E-5BC4-4183-A054-4828A04ADB77}"/>
            </a:ext>
          </a:extLst>
        </xdr:cNvPr>
        <xdr:cNvCxnSpPr>
          <a:stCxn id="23" idx="2"/>
          <a:endCxn id="9" idx="0"/>
        </xdr:cNvCxnSpPr>
      </xdr:nvCxnSpPr>
      <xdr:spPr>
        <a:xfrm flipH="1">
          <a:off x="8356484" y="2038447"/>
          <a:ext cx="952" cy="670108"/>
        </a:xfrm>
        <a:prstGeom prst="straightConnector1">
          <a:avLst/>
        </a:prstGeom>
        <a:ln>
          <a:solidFill>
            <a:schemeClr val="bg1">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556252</xdr:colOff>
      <xdr:row>11</xdr:row>
      <xdr:rowOff>182461</xdr:rowOff>
    </xdr:from>
    <xdr:to>
      <xdr:col>7</xdr:col>
      <xdr:colOff>743471</xdr:colOff>
      <xdr:row>11</xdr:row>
      <xdr:rowOff>182461</xdr:rowOff>
    </xdr:to>
    <xdr:cxnSp macro="">
      <xdr:nvCxnSpPr>
        <xdr:cNvPr id="32" name="Gerader Verbinder 31">
          <a:extLst>
            <a:ext uri="{FF2B5EF4-FFF2-40B4-BE49-F238E27FC236}">
              <a16:creationId xmlns:a16="http://schemas.microsoft.com/office/drawing/2014/main" id="{04AC7134-CF75-4C81-BA26-6B685CFF9441}"/>
            </a:ext>
          </a:extLst>
        </xdr:cNvPr>
        <xdr:cNvCxnSpPr>
          <a:stCxn id="4" idx="3"/>
          <a:endCxn id="12" idx="1"/>
        </xdr:cNvCxnSpPr>
      </xdr:nvCxnSpPr>
      <xdr:spPr>
        <a:xfrm>
          <a:off x="7852402" y="2335111"/>
          <a:ext cx="1025419" cy="0"/>
        </a:xfrm>
        <a:prstGeom prst="line">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556252</xdr:colOff>
      <xdr:row>14</xdr:row>
      <xdr:rowOff>106805</xdr:rowOff>
    </xdr:from>
    <xdr:to>
      <xdr:col>6</xdr:col>
      <xdr:colOff>807801</xdr:colOff>
      <xdr:row>14</xdr:row>
      <xdr:rowOff>106805</xdr:rowOff>
    </xdr:to>
    <xdr:cxnSp macro="">
      <xdr:nvCxnSpPr>
        <xdr:cNvPr id="33" name="Gerade Verbindung mit Pfeil 32">
          <a:extLst>
            <a:ext uri="{FF2B5EF4-FFF2-40B4-BE49-F238E27FC236}">
              <a16:creationId xmlns:a16="http://schemas.microsoft.com/office/drawing/2014/main" id="{6778C056-1F96-473C-B229-CE05903F986C}"/>
            </a:ext>
          </a:extLst>
        </xdr:cNvPr>
        <xdr:cNvCxnSpPr>
          <a:stCxn id="9" idx="1"/>
          <a:endCxn id="7" idx="3"/>
        </xdr:cNvCxnSpPr>
      </xdr:nvCxnSpPr>
      <xdr:spPr>
        <a:xfrm flipH="1">
          <a:off x="7852402" y="2830955"/>
          <a:ext cx="251549" cy="0"/>
        </a:xfrm>
        <a:prstGeom prst="straightConnector1">
          <a:avLst/>
        </a:prstGeom>
        <a:ln>
          <a:solidFill>
            <a:schemeClr val="bg1">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488113</xdr:colOff>
      <xdr:row>14</xdr:row>
      <xdr:rowOff>106805</xdr:rowOff>
    </xdr:from>
    <xdr:to>
      <xdr:col>7</xdr:col>
      <xdr:colOff>739661</xdr:colOff>
      <xdr:row>14</xdr:row>
      <xdr:rowOff>106805</xdr:rowOff>
    </xdr:to>
    <xdr:cxnSp macro="">
      <xdr:nvCxnSpPr>
        <xdr:cNvPr id="34" name="Gerade Verbindung mit Pfeil 33">
          <a:extLst>
            <a:ext uri="{FF2B5EF4-FFF2-40B4-BE49-F238E27FC236}">
              <a16:creationId xmlns:a16="http://schemas.microsoft.com/office/drawing/2014/main" id="{FAB6B352-3EC8-49F0-AA92-9D59B432A50D}"/>
            </a:ext>
          </a:extLst>
        </xdr:cNvPr>
        <xdr:cNvCxnSpPr>
          <a:stCxn id="9" idx="3"/>
          <a:endCxn id="14" idx="1"/>
        </xdr:cNvCxnSpPr>
      </xdr:nvCxnSpPr>
      <xdr:spPr>
        <a:xfrm>
          <a:off x="8622463" y="2830955"/>
          <a:ext cx="251548" cy="0"/>
        </a:xfrm>
        <a:prstGeom prst="straightConnector1">
          <a:avLst/>
        </a:prstGeom>
        <a:ln>
          <a:solidFill>
            <a:schemeClr val="bg1">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243840</xdr:colOff>
      <xdr:row>29</xdr:row>
      <xdr:rowOff>50537</xdr:rowOff>
    </xdr:from>
    <xdr:to>
      <xdr:col>5</xdr:col>
      <xdr:colOff>893490</xdr:colOff>
      <xdr:row>30</xdr:row>
      <xdr:rowOff>104837</xdr:rowOff>
    </xdr:to>
    <xdr:sp macro="" textlink="">
      <xdr:nvSpPr>
        <xdr:cNvPr id="35" name="Rechteck 34">
          <a:extLst>
            <a:ext uri="{FF2B5EF4-FFF2-40B4-BE49-F238E27FC236}">
              <a16:creationId xmlns:a16="http://schemas.microsoft.com/office/drawing/2014/main" id="{E6FBC569-F1D0-4B91-961F-E306AC0B3124}"/>
            </a:ext>
          </a:extLst>
        </xdr:cNvPr>
        <xdr:cNvSpPr/>
      </xdr:nvSpPr>
      <xdr:spPr>
        <a:xfrm>
          <a:off x="5092065" y="5632187"/>
          <a:ext cx="1887900" cy="244800"/>
        </a:xfrm>
        <a:prstGeom prst="rect">
          <a:avLst/>
        </a:prstGeom>
        <a:solidFill>
          <a:srgbClr val="0A4669"/>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r>
            <a:rPr lang="de-AT" sz="1000">
              <a:solidFill>
                <a:schemeClr val="bg1"/>
              </a:solidFill>
              <a:latin typeface="PP Pangram Sans Semibold" panose="00000705000000000000" pitchFamily="2" charset="0"/>
            </a:rPr>
            <a:t>Actual</a:t>
          </a:r>
          <a:r>
            <a:rPr lang="de-AT" sz="1000" baseline="0">
              <a:solidFill>
                <a:schemeClr val="bg1"/>
              </a:solidFill>
              <a:latin typeface="PP Pangram Sans Semibold" panose="00000705000000000000" pitchFamily="2" charset="0"/>
            </a:rPr>
            <a:t> commodity</a:t>
          </a:r>
          <a:r>
            <a:rPr lang="de-AT" sz="1000">
              <a:solidFill>
                <a:schemeClr val="bg1"/>
              </a:solidFill>
              <a:latin typeface="PP Pangram Sans Semibold" panose="00000705000000000000" pitchFamily="2" charset="0"/>
            </a:rPr>
            <a:t> revenues</a:t>
          </a:r>
        </a:p>
      </xdr:txBody>
    </xdr:sp>
    <xdr:clientData/>
  </xdr:twoCellAnchor>
  <xdr:twoCellAnchor>
    <xdr:from>
      <xdr:col>4</xdr:col>
      <xdr:colOff>243840</xdr:colOff>
      <xdr:row>25</xdr:row>
      <xdr:rowOff>111494</xdr:rowOff>
    </xdr:from>
    <xdr:to>
      <xdr:col>5</xdr:col>
      <xdr:colOff>893490</xdr:colOff>
      <xdr:row>26</xdr:row>
      <xdr:rowOff>165794</xdr:rowOff>
    </xdr:to>
    <xdr:sp macro="" textlink="">
      <xdr:nvSpPr>
        <xdr:cNvPr id="36" name="Rechteck 35">
          <a:extLst>
            <a:ext uri="{FF2B5EF4-FFF2-40B4-BE49-F238E27FC236}">
              <a16:creationId xmlns:a16="http://schemas.microsoft.com/office/drawing/2014/main" id="{DDAA3A62-2450-40A3-AF2C-204F7DCA595E}"/>
            </a:ext>
          </a:extLst>
        </xdr:cNvPr>
        <xdr:cNvSpPr/>
      </xdr:nvSpPr>
      <xdr:spPr>
        <a:xfrm>
          <a:off x="5092065" y="4931144"/>
          <a:ext cx="1887900" cy="244800"/>
        </a:xfrm>
        <a:prstGeom prst="rect">
          <a:avLst/>
        </a:prstGeom>
        <a:solidFill>
          <a:srgbClr val="0A4669"/>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r>
            <a:rPr lang="de-AT" sz="1000">
              <a:solidFill>
                <a:schemeClr val="bg1"/>
              </a:solidFill>
              <a:latin typeface="PP Pangram Sans Semibold" panose="00000705000000000000" pitchFamily="2" charset="0"/>
            </a:rPr>
            <a:t>Commodity cost base</a:t>
          </a:r>
        </a:p>
      </xdr:txBody>
    </xdr:sp>
    <xdr:clientData/>
  </xdr:twoCellAnchor>
  <xdr:twoCellAnchor>
    <xdr:from>
      <xdr:col>6</xdr:col>
      <xdr:colOff>19066</xdr:colOff>
      <xdr:row>29</xdr:row>
      <xdr:rowOff>60061</xdr:rowOff>
    </xdr:from>
    <xdr:to>
      <xdr:col>6</xdr:col>
      <xdr:colOff>556252</xdr:colOff>
      <xdr:row>30</xdr:row>
      <xdr:rowOff>114361</xdr:rowOff>
    </xdr:to>
    <xdr:sp macro="" textlink="$AF$39">
      <xdr:nvSpPr>
        <xdr:cNvPr id="37" name="Rechteck 36">
          <a:extLst>
            <a:ext uri="{FF2B5EF4-FFF2-40B4-BE49-F238E27FC236}">
              <a16:creationId xmlns:a16="http://schemas.microsoft.com/office/drawing/2014/main" id="{9272C852-C749-4D83-BD3F-5AA9CA5E52F7}"/>
            </a:ext>
          </a:extLst>
        </xdr:cNvPr>
        <xdr:cNvSpPr/>
      </xdr:nvSpPr>
      <xdr:spPr>
        <a:xfrm>
          <a:off x="7315216" y="5641711"/>
          <a:ext cx="537186" cy="244800"/>
        </a:xfrm>
        <a:prstGeom prst="rect">
          <a:avLst/>
        </a:prstGeom>
        <a:solidFill>
          <a:schemeClr val="bg1">
            <a:lumMod val="85000"/>
          </a:schemeClr>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marL="0" indent="0" algn="ctr" defTabSz="144000" rtl="0" eaLnBrk="1" latinLnBrk="0" hangingPunct="1"/>
          <a:fld id="{25DE2645-9791-4462-AF1B-6CCEA9161CC5}" type="TxLink">
            <a:rPr lang="en-US" sz="1100" b="0" i="0" u="none" strike="noStrike" kern="1200">
              <a:solidFill>
                <a:schemeClr val="bg1">
                  <a:lumMod val="50000"/>
                </a:schemeClr>
              </a:solidFill>
              <a:latin typeface="Calibri"/>
              <a:ea typeface="Calibri"/>
              <a:cs typeface="Calibri"/>
            </a:rPr>
            <a:pPr marL="0" indent="0" algn="ctr" defTabSz="144000" rtl="0" eaLnBrk="1" latinLnBrk="0" hangingPunct="1"/>
            <a:t>17,7</a:t>
          </a:fld>
          <a:endParaRPr lang="de-AT" sz="1100" b="0" i="0" u="none" strike="noStrike" kern="1200">
            <a:solidFill>
              <a:schemeClr val="bg1">
                <a:lumMod val="50000"/>
              </a:schemeClr>
            </a:solidFill>
            <a:latin typeface="Calibri"/>
            <a:ea typeface="Calibri"/>
            <a:cs typeface="Calibri"/>
          </a:endParaRPr>
        </a:p>
      </xdr:txBody>
    </xdr:sp>
    <xdr:clientData/>
  </xdr:twoCellAnchor>
  <xdr:twoCellAnchor>
    <xdr:from>
      <xdr:col>6</xdr:col>
      <xdr:colOff>19066</xdr:colOff>
      <xdr:row>25</xdr:row>
      <xdr:rowOff>111494</xdr:rowOff>
    </xdr:from>
    <xdr:to>
      <xdr:col>6</xdr:col>
      <xdr:colOff>556252</xdr:colOff>
      <xdr:row>26</xdr:row>
      <xdr:rowOff>165794</xdr:rowOff>
    </xdr:to>
    <xdr:sp macro="" textlink="$AF$33">
      <xdr:nvSpPr>
        <xdr:cNvPr id="38" name="Rechteck 37">
          <a:extLst>
            <a:ext uri="{FF2B5EF4-FFF2-40B4-BE49-F238E27FC236}">
              <a16:creationId xmlns:a16="http://schemas.microsoft.com/office/drawing/2014/main" id="{7AC52D81-B163-4A0C-8D2E-FAF36FE4F935}"/>
            </a:ext>
          </a:extLst>
        </xdr:cNvPr>
        <xdr:cNvSpPr/>
      </xdr:nvSpPr>
      <xdr:spPr>
        <a:xfrm>
          <a:off x="7315216" y="4931144"/>
          <a:ext cx="537186" cy="244800"/>
        </a:xfrm>
        <a:prstGeom prst="rect">
          <a:avLst/>
        </a:prstGeom>
        <a:solidFill>
          <a:schemeClr val="bg1">
            <a:lumMod val="85000"/>
          </a:schemeClr>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p>
          <a:pPr marL="0" indent="0" algn="ctr"/>
          <a:fld id="{ED871E3A-278C-433F-9757-877F488DF348}" type="TxLink">
            <a:rPr lang="en-US" sz="1100" b="0" i="0" u="none" strike="noStrike">
              <a:solidFill>
                <a:schemeClr val="bg1">
                  <a:lumMod val="50000"/>
                </a:schemeClr>
              </a:solidFill>
              <a:latin typeface="Calibri"/>
              <a:ea typeface="+mn-ea"/>
              <a:cs typeface="Calibri"/>
            </a:rPr>
            <a:pPr marL="0" indent="0" algn="ctr"/>
            <a:t>15,7</a:t>
          </a:fld>
          <a:endParaRPr lang="en-US" sz="1100" b="0" i="0" u="none" strike="noStrike">
            <a:solidFill>
              <a:schemeClr val="bg1">
                <a:lumMod val="50000"/>
              </a:schemeClr>
            </a:solidFill>
            <a:latin typeface="Calibri"/>
            <a:ea typeface="+mn-ea"/>
            <a:cs typeface="Calibri"/>
          </a:endParaRPr>
        </a:p>
      </xdr:txBody>
    </xdr:sp>
    <xdr:clientData/>
  </xdr:twoCellAnchor>
  <xdr:twoCellAnchor>
    <xdr:from>
      <xdr:col>4</xdr:col>
      <xdr:colOff>245744</xdr:colOff>
      <xdr:row>31</xdr:row>
      <xdr:rowOff>174905</xdr:rowOff>
    </xdr:from>
    <xdr:to>
      <xdr:col>5</xdr:col>
      <xdr:colOff>895394</xdr:colOff>
      <xdr:row>33</xdr:row>
      <xdr:rowOff>27499</xdr:rowOff>
    </xdr:to>
    <xdr:sp macro="" textlink="">
      <xdr:nvSpPr>
        <xdr:cNvPr id="39" name="Rechteck 38">
          <a:extLst>
            <a:ext uri="{FF2B5EF4-FFF2-40B4-BE49-F238E27FC236}">
              <a16:creationId xmlns:a16="http://schemas.microsoft.com/office/drawing/2014/main" id="{96B3419B-F89E-4A36-BB5A-69785C25F0AA}"/>
            </a:ext>
          </a:extLst>
        </xdr:cNvPr>
        <xdr:cNvSpPr/>
      </xdr:nvSpPr>
      <xdr:spPr>
        <a:xfrm>
          <a:off x="5093969" y="6137555"/>
          <a:ext cx="1887900" cy="243119"/>
        </a:xfrm>
        <a:prstGeom prst="rect">
          <a:avLst/>
        </a:prstGeom>
        <a:solidFill>
          <a:srgbClr val="0A4669"/>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r>
            <a:rPr lang="de-AT" sz="1000">
              <a:solidFill>
                <a:schemeClr val="bg1"/>
              </a:solidFill>
              <a:latin typeface="PP Pangram Sans Semibold" panose="00000705000000000000" pitchFamily="2" charset="0"/>
            </a:rPr>
            <a:t>Eff. commodity </a:t>
          </a:r>
          <a:r>
            <a:rPr lang="de-AT" sz="1000" baseline="0">
              <a:solidFill>
                <a:schemeClr val="bg1"/>
              </a:solidFill>
              <a:latin typeface="PP Pangram Sans Semibold" panose="00000705000000000000" pitchFamily="2" charset="0"/>
            </a:rPr>
            <a:t> </a:t>
          </a:r>
          <a:r>
            <a:rPr lang="de-AT" sz="1000">
              <a:solidFill>
                <a:schemeClr val="bg1"/>
              </a:solidFill>
              <a:latin typeface="PP Pangram Sans Semibold" panose="00000705000000000000" pitchFamily="2" charset="0"/>
            </a:rPr>
            <a:t>revenues</a:t>
          </a:r>
        </a:p>
      </xdr:txBody>
    </xdr:sp>
    <xdr:clientData/>
  </xdr:twoCellAnchor>
  <xdr:twoCellAnchor>
    <xdr:from>
      <xdr:col>6</xdr:col>
      <xdr:colOff>19066</xdr:colOff>
      <xdr:row>31</xdr:row>
      <xdr:rowOff>174905</xdr:rowOff>
    </xdr:from>
    <xdr:to>
      <xdr:col>6</xdr:col>
      <xdr:colOff>556252</xdr:colOff>
      <xdr:row>33</xdr:row>
      <xdr:rowOff>27499</xdr:rowOff>
    </xdr:to>
    <xdr:sp macro="" textlink="$AF$41">
      <xdr:nvSpPr>
        <xdr:cNvPr id="40" name="Rechteck 39">
          <a:extLst>
            <a:ext uri="{FF2B5EF4-FFF2-40B4-BE49-F238E27FC236}">
              <a16:creationId xmlns:a16="http://schemas.microsoft.com/office/drawing/2014/main" id="{1447333D-B82E-4AB9-89D2-A9797529A5B4}"/>
            </a:ext>
          </a:extLst>
        </xdr:cNvPr>
        <xdr:cNvSpPr/>
      </xdr:nvSpPr>
      <xdr:spPr>
        <a:xfrm>
          <a:off x="7315216" y="6137555"/>
          <a:ext cx="537186" cy="243119"/>
        </a:xfrm>
        <a:prstGeom prst="rect">
          <a:avLst/>
        </a:prstGeom>
        <a:solidFill>
          <a:srgbClr val="FE6D73"/>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marL="0" indent="0" algn="ctr" defTabSz="144000" rtl="0" eaLnBrk="1" latinLnBrk="0" hangingPunct="1"/>
          <a:fld id="{52477C7A-7555-4E8B-BCAF-CA1D6F0A7A31}" type="TxLink">
            <a:rPr lang="en-US" sz="1100" b="1" i="0" u="none" strike="noStrike" kern="1200">
              <a:solidFill>
                <a:schemeClr val="bg1"/>
              </a:solidFill>
              <a:latin typeface="Calibri"/>
              <a:ea typeface="Calibri"/>
              <a:cs typeface="Calibri"/>
            </a:rPr>
            <a:pPr marL="0" indent="0" algn="ctr" defTabSz="144000" rtl="0" eaLnBrk="1" latinLnBrk="0" hangingPunct="1"/>
            <a:t>15,7</a:t>
          </a:fld>
          <a:endParaRPr lang="de-AT" sz="1100" b="1" i="0" u="none" strike="noStrike" kern="1200">
            <a:solidFill>
              <a:schemeClr val="bg1"/>
            </a:solidFill>
            <a:latin typeface="Calibri"/>
            <a:ea typeface="Calibri"/>
            <a:cs typeface="Calibri"/>
          </a:endParaRPr>
        </a:p>
      </xdr:txBody>
    </xdr:sp>
    <xdr:clientData/>
  </xdr:twoCellAnchor>
  <xdr:twoCellAnchor>
    <xdr:from>
      <xdr:col>6</xdr:col>
      <xdr:colOff>22876</xdr:colOff>
      <xdr:row>24</xdr:row>
      <xdr:rowOff>17591</xdr:rowOff>
    </xdr:from>
    <xdr:to>
      <xdr:col>6</xdr:col>
      <xdr:colOff>558157</xdr:colOff>
      <xdr:row>25</xdr:row>
      <xdr:rowOff>71891</xdr:rowOff>
    </xdr:to>
    <xdr:sp macro="" textlink="">
      <xdr:nvSpPr>
        <xdr:cNvPr id="41" name="Rechteck 40">
          <a:extLst>
            <a:ext uri="{FF2B5EF4-FFF2-40B4-BE49-F238E27FC236}">
              <a16:creationId xmlns:a16="http://schemas.microsoft.com/office/drawing/2014/main" id="{99CE7538-744D-483A-8A58-340F1859BCBD}"/>
            </a:ext>
          </a:extLst>
        </xdr:cNvPr>
        <xdr:cNvSpPr/>
      </xdr:nvSpPr>
      <xdr:spPr>
        <a:xfrm>
          <a:off x="7319026" y="4646741"/>
          <a:ext cx="535281" cy="244800"/>
        </a:xfrm>
        <a:prstGeom prst="rect">
          <a:avLst/>
        </a:prstGeom>
        <a:solidFill>
          <a:srgbClr val="0A4669"/>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algn="ctr"/>
          <a:r>
            <a:rPr lang="de-AT" sz="1000">
              <a:solidFill>
                <a:schemeClr val="bg1"/>
              </a:solidFill>
              <a:latin typeface="PP Pangram Sans Semibold" panose="00000705000000000000" pitchFamily="2" charset="0"/>
            </a:rPr>
            <a:t>GCA</a:t>
          </a:r>
        </a:p>
      </xdr:txBody>
    </xdr:sp>
    <xdr:clientData/>
  </xdr:twoCellAnchor>
  <xdr:twoCellAnchor>
    <xdr:from>
      <xdr:col>6</xdr:col>
      <xdr:colOff>807801</xdr:colOff>
      <xdr:row>31</xdr:row>
      <xdr:rowOff>174905</xdr:rowOff>
    </xdr:from>
    <xdr:to>
      <xdr:col>7</xdr:col>
      <xdr:colOff>488113</xdr:colOff>
      <xdr:row>33</xdr:row>
      <xdr:rowOff>27499</xdr:rowOff>
    </xdr:to>
    <xdr:sp macro="" textlink="$AF$38">
      <xdr:nvSpPr>
        <xdr:cNvPr id="42" name="Rechteck 41">
          <a:extLst>
            <a:ext uri="{FF2B5EF4-FFF2-40B4-BE49-F238E27FC236}">
              <a16:creationId xmlns:a16="http://schemas.microsoft.com/office/drawing/2014/main" id="{7CF3412C-EEB4-4698-B5C0-D08641C755A5}"/>
            </a:ext>
          </a:extLst>
        </xdr:cNvPr>
        <xdr:cNvSpPr/>
      </xdr:nvSpPr>
      <xdr:spPr>
        <a:xfrm>
          <a:off x="8103951" y="6137555"/>
          <a:ext cx="518512" cy="243119"/>
        </a:xfrm>
        <a:prstGeom prst="rect">
          <a:avLst/>
        </a:prstGeom>
        <a:solidFill>
          <a:schemeClr val="accent1"/>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marL="0" indent="0" algn="ctr" defTabSz="144000" rtl="0" eaLnBrk="1" latinLnBrk="0" hangingPunct="1"/>
          <a:fld id="{CBA5D74E-C1D1-4F8E-B3E0-12D9D090F251}" type="TxLink">
            <a:rPr lang="en-US" sz="1100" b="1" i="0" u="none" strike="noStrike" kern="1200">
              <a:solidFill>
                <a:schemeClr val="bg1"/>
              </a:solidFill>
              <a:latin typeface="Calibri"/>
              <a:ea typeface="Calibri"/>
              <a:cs typeface="Calibri"/>
            </a:rPr>
            <a:pPr marL="0" indent="0" algn="ctr" defTabSz="144000" rtl="0" eaLnBrk="1" latinLnBrk="0" hangingPunct="1"/>
            <a:t>2,0</a:t>
          </a:fld>
          <a:endParaRPr lang="de-AT" sz="1100" b="1" i="0" u="none" strike="noStrike" kern="1200">
            <a:solidFill>
              <a:schemeClr val="bg1"/>
            </a:solidFill>
            <a:latin typeface="Calibri"/>
            <a:ea typeface="Calibri"/>
            <a:cs typeface="Calibri"/>
          </a:endParaRPr>
        </a:p>
      </xdr:txBody>
    </xdr:sp>
    <xdr:clientData/>
  </xdr:twoCellAnchor>
  <xdr:twoCellAnchor>
    <xdr:from>
      <xdr:col>6</xdr:col>
      <xdr:colOff>805896</xdr:colOff>
      <xdr:row>24</xdr:row>
      <xdr:rowOff>17591</xdr:rowOff>
    </xdr:from>
    <xdr:to>
      <xdr:col>7</xdr:col>
      <xdr:colOff>491923</xdr:colOff>
      <xdr:row>25</xdr:row>
      <xdr:rowOff>71891</xdr:rowOff>
    </xdr:to>
    <xdr:sp macro="" textlink="">
      <xdr:nvSpPr>
        <xdr:cNvPr id="43" name="Rechteck 42">
          <a:extLst>
            <a:ext uri="{FF2B5EF4-FFF2-40B4-BE49-F238E27FC236}">
              <a16:creationId xmlns:a16="http://schemas.microsoft.com/office/drawing/2014/main" id="{03846411-130D-4896-85E2-6AEF5F712F31}"/>
            </a:ext>
          </a:extLst>
        </xdr:cNvPr>
        <xdr:cNvSpPr/>
      </xdr:nvSpPr>
      <xdr:spPr>
        <a:xfrm>
          <a:off x="8102046" y="4646741"/>
          <a:ext cx="524227" cy="244800"/>
        </a:xfrm>
        <a:prstGeom prst="rect">
          <a:avLst/>
        </a:prstGeom>
        <a:solidFill>
          <a:srgbClr val="95B3D7"/>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algn="ctr"/>
          <a:r>
            <a:rPr lang="de-AT" sz="1000">
              <a:solidFill>
                <a:schemeClr val="bg1"/>
              </a:solidFill>
              <a:latin typeface="PP Pangram Sans Semibold" panose="00000705000000000000" pitchFamily="2" charset="0"/>
            </a:rPr>
            <a:t>ITC</a:t>
          </a:r>
        </a:p>
      </xdr:txBody>
    </xdr:sp>
    <xdr:clientData/>
  </xdr:twoCellAnchor>
  <xdr:twoCellAnchor>
    <xdr:from>
      <xdr:col>4</xdr:col>
      <xdr:colOff>238125</xdr:colOff>
      <xdr:row>24</xdr:row>
      <xdr:rowOff>25211</xdr:rowOff>
    </xdr:from>
    <xdr:to>
      <xdr:col>5</xdr:col>
      <xdr:colOff>802534</xdr:colOff>
      <xdr:row>25</xdr:row>
      <xdr:rowOff>79511</xdr:rowOff>
    </xdr:to>
    <xdr:sp macro="" textlink="">
      <xdr:nvSpPr>
        <xdr:cNvPr id="44" name="Rechteck 43">
          <a:extLst>
            <a:ext uri="{FF2B5EF4-FFF2-40B4-BE49-F238E27FC236}">
              <a16:creationId xmlns:a16="http://schemas.microsoft.com/office/drawing/2014/main" id="{12374FDE-5CAC-4384-8DBA-C970D53B7A03}"/>
            </a:ext>
          </a:extLst>
        </xdr:cNvPr>
        <xdr:cNvSpPr/>
      </xdr:nvSpPr>
      <xdr:spPr>
        <a:xfrm>
          <a:off x="5086350" y="4654361"/>
          <a:ext cx="1802659" cy="244800"/>
        </a:xfrm>
        <a:prstGeom prst="rect">
          <a:avLst/>
        </a:prstGeom>
        <a:no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algn="r"/>
          <a:r>
            <a:rPr lang="de-AT" sz="1000" i="1">
              <a:solidFill>
                <a:schemeClr val="bg1">
                  <a:lumMod val="50000"/>
                </a:schemeClr>
              </a:solidFill>
              <a:latin typeface="PP Pangram Sans Medium" panose="00000605000000000000" pitchFamily="2" charset="0"/>
            </a:rPr>
            <a:t>[mio. EUR]</a:t>
          </a:r>
        </a:p>
      </xdr:txBody>
    </xdr:sp>
    <xdr:clientData/>
  </xdr:twoCellAnchor>
  <xdr:twoCellAnchor>
    <xdr:from>
      <xdr:col>7</xdr:col>
      <xdr:colOff>743471</xdr:colOff>
      <xdr:row>29</xdr:row>
      <xdr:rowOff>50537</xdr:rowOff>
    </xdr:from>
    <xdr:to>
      <xdr:col>8</xdr:col>
      <xdr:colOff>363806</xdr:colOff>
      <xdr:row>30</xdr:row>
      <xdr:rowOff>104837</xdr:rowOff>
    </xdr:to>
    <xdr:sp macro="" textlink="$AF$40">
      <xdr:nvSpPr>
        <xdr:cNvPr id="45" name="Rechteck 44">
          <a:extLst>
            <a:ext uri="{FF2B5EF4-FFF2-40B4-BE49-F238E27FC236}">
              <a16:creationId xmlns:a16="http://schemas.microsoft.com/office/drawing/2014/main" id="{C9ECB37E-6A88-4F05-A158-07CCA2D5775D}"/>
            </a:ext>
          </a:extLst>
        </xdr:cNvPr>
        <xdr:cNvSpPr/>
      </xdr:nvSpPr>
      <xdr:spPr>
        <a:xfrm>
          <a:off x="8877821" y="5632187"/>
          <a:ext cx="525210" cy="244800"/>
        </a:xfrm>
        <a:prstGeom prst="rect">
          <a:avLst/>
        </a:prstGeom>
        <a:solidFill>
          <a:schemeClr val="bg1">
            <a:lumMod val="85000"/>
          </a:schemeClr>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marL="0" indent="0" algn="ctr" defTabSz="144000" rtl="0" eaLnBrk="1" latinLnBrk="0" hangingPunct="1"/>
          <a:fld id="{2746DB31-E0D4-43A9-B5C4-FF33F3D361BF}" type="TxLink">
            <a:rPr lang="en-US" sz="1100" b="0" i="0" u="none" strike="noStrike" kern="1200">
              <a:solidFill>
                <a:schemeClr val="bg1">
                  <a:lumMod val="50000"/>
                </a:schemeClr>
              </a:solidFill>
              <a:latin typeface="Calibri"/>
              <a:ea typeface="Calibri"/>
              <a:cs typeface="Calibri"/>
            </a:rPr>
            <a:pPr marL="0" indent="0" algn="ctr" defTabSz="144000" rtl="0" eaLnBrk="1" latinLnBrk="0" hangingPunct="1"/>
            <a:t>3,5</a:t>
          </a:fld>
          <a:endParaRPr lang="de-AT" sz="1100" b="0" i="0" u="none" strike="noStrike" kern="1200">
            <a:solidFill>
              <a:schemeClr val="bg1">
                <a:lumMod val="50000"/>
              </a:schemeClr>
            </a:solidFill>
            <a:latin typeface="Calibri"/>
            <a:ea typeface="Calibri"/>
            <a:cs typeface="Calibri"/>
          </a:endParaRPr>
        </a:p>
      </xdr:txBody>
    </xdr:sp>
    <xdr:clientData/>
  </xdr:twoCellAnchor>
  <xdr:twoCellAnchor>
    <xdr:from>
      <xdr:col>7</xdr:col>
      <xdr:colOff>743471</xdr:colOff>
      <xdr:row>25</xdr:row>
      <xdr:rowOff>111494</xdr:rowOff>
    </xdr:from>
    <xdr:to>
      <xdr:col>8</xdr:col>
      <xdr:colOff>363806</xdr:colOff>
      <xdr:row>26</xdr:row>
      <xdr:rowOff>165794</xdr:rowOff>
    </xdr:to>
    <xdr:sp macro="" textlink="$AF$34">
      <xdr:nvSpPr>
        <xdr:cNvPr id="46" name="Rechteck 45">
          <a:extLst>
            <a:ext uri="{FF2B5EF4-FFF2-40B4-BE49-F238E27FC236}">
              <a16:creationId xmlns:a16="http://schemas.microsoft.com/office/drawing/2014/main" id="{5AFADE9F-7725-4F93-A9FC-2ECC962AD1F3}"/>
            </a:ext>
          </a:extLst>
        </xdr:cNvPr>
        <xdr:cNvSpPr/>
      </xdr:nvSpPr>
      <xdr:spPr>
        <a:xfrm>
          <a:off x="8877821" y="4931144"/>
          <a:ext cx="525210" cy="244800"/>
        </a:xfrm>
        <a:prstGeom prst="rect">
          <a:avLst/>
        </a:prstGeom>
        <a:solidFill>
          <a:schemeClr val="bg1">
            <a:lumMod val="85000"/>
          </a:schemeClr>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marL="0" indent="0" algn="ctr" defTabSz="144000" rtl="0" eaLnBrk="1" latinLnBrk="0" hangingPunct="1"/>
          <a:fld id="{91AD846E-C77A-42EF-96E3-9C5828A85D81}" type="TxLink">
            <a:rPr lang="en-US" sz="1100" b="0" i="0" u="none" strike="noStrike" kern="1200">
              <a:solidFill>
                <a:schemeClr val="bg1">
                  <a:lumMod val="50000"/>
                </a:schemeClr>
              </a:solidFill>
              <a:latin typeface="Calibri"/>
              <a:ea typeface="+mn-ea"/>
              <a:cs typeface="Calibri"/>
            </a:rPr>
            <a:pPr marL="0" indent="0" algn="ctr" defTabSz="144000" rtl="0" eaLnBrk="1" latinLnBrk="0" hangingPunct="1"/>
            <a:t>5,5</a:t>
          </a:fld>
          <a:endParaRPr lang="de-AT" sz="1100" b="0" i="0" u="none" strike="noStrike" kern="1200">
            <a:solidFill>
              <a:schemeClr val="bg1">
                <a:lumMod val="50000"/>
              </a:schemeClr>
            </a:solidFill>
            <a:latin typeface="Calibri"/>
            <a:ea typeface="+mn-ea"/>
            <a:cs typeface="Calibri"/>
          </a:endParaRPr>
        </a:p>
      </xdr:txBody>
    </xdr:sp>
    <xdr:clientData/>
  </xdr:twoCellAnchor>
  <xdr:twoCellAnchor>
    <xdr:from>
      <xdr:col>7</xdr:col>
      <xdr:colOff>739661</xdr:colOff>
      <xdr:row>31</xdr:row>
      <xdr:rowOff>174905</xdr:rowOff>
    </xdr:from>
    <xdr:to>
      <xdr:col>8</xdr:col>
      <xdr:colOff>359996</xdr:colOff>
      <xdr:row>33</xdr:row>
      <xdr:rowOff>27499</xdr:rowOff>
    </xdr:to>
    <xdr:sp macro="" textlink="$AF$42">
      <xdr:nvSpPr>
        <xdr:cNvPr id="47" name="Rechteck 46">
          <a:extLst>
            <a:ext uri="{FF2B5EF4-FFF2-40B4-BE49-F238E27FC236}">
              <a16:creationId xmlns:a16="http://schemas.microsoft.com/office/drawing/2014/main" id="{13930F43-A025-4F8A-877D-5CA37B146523}"/>
            </a:ext>
          </a:extLst>
        </xdr:cNvPr>
        <xdr:cNvSpPr/>
      </xdr:nvSpPr>
      <xdr:spPr>
        <a:xfrm>
          <a:off x="8874011" y="6137555"/>
          <a:ext cx="525210" cy="243119"/>
        </a:xfrm>
        <a:prstGeom prst="rect">
          <a:avLst/>
        </a:prstGeom>
        <a:solidFill>
          <a:srgbClr val="FE6D73"/>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marL="0" indent="0" algn="ctr" defTabSz="144000" rtl="0" eaLnBrk="1" latinLnBrk="0" hangingPunct="1"/>
          <a:fld id="{799811BD-34C3-46CD-BA65-563EBE8A9CA1}" type="TxLink">
            <a:rPr lang="en-US" sz="1100" b="1" i="0" u="none" strike="noStrike" kern="1200">
              <a:solidFill>
                <a:schemeClr val="bg1"/>
              </a:solidFill>
              <a:latin typeface="Calibri"/>
              <a:ea typeface="Calibri"/>
              <a:cs typeface="Calibri"/>
            </a:rPr>
            <a:pPr marL="0" indent="0" algn="ctr" defTabSz="144000" rtl="0" eaLnBrk="1" latinLnBrk="0" hangingPunct="1"/>
            <a:t>5,5</a:t>
          </a:fld>
          <a:endParaRPr lang="de-AT" sz="1100" b="1" i="0" u="none" strike="noStrike" kern="1200">
            <a:solidFill>
              <a:schemeClr val="bg1"/>
            </a:solidFill>
            <a:latin typeface="Calibri"/>
            <a:ea typeface="Calibri"/>
            <a:cs typeface="Calibri"/>
          </a:endParaRPr>
        </a:p>
      </xdr:txBody>
    </xdr:sp>
    <xdr:clientData/>
  </xdr:twoCellAnchor>
  <xdr:twoCellAnchor>
    <xdr:from>
      <xdr:col>7</xdr:col>
      <xdr:colOff>739661</xdr:colOff>
      <xdr:row>24</xdr:row>
      <xdr:rowOff>17591</xdr:rowOff>
    </xdr:from>
    <xdr:to>
      <xdr:col>8</xdr:col>
      <xdr:colOff>359996</xdr:colOff>
      <xdr:row>25</xdr:row>
      <xdr:rowOff>71891</xdr:rowOff>
    </xdr:to>
    <xdr:sp macro="" textlink="">
      <xdr:nvSpPr>
        <xdr:cNvPr id="48" name="Rechteck 47">
          <a:extLst>
            <a:ext uri="{FF2B5EF4-FFF2-40B4-BE49-F238E27FC236}">
              <a16:creationId xmlns:a16="http://schemas.microsoft.com/office/drawing/2014/main" id="{C113B5A2-A699-4137-B20B-1975B58A08BA}"/>
            </a:ext>
          </a:extLst>
        </xdr:cNvPr>
        <xdr:cNvSpPr/>
      </xdr:nvSpPr>
      <xdr:spPr>
        <a:xfrm>
          <a:off x="8874011" y="4646741"/>
          <a:ext cx="525210" cy="244800"/>
        </a:xfrm>
        <a:prstGeom prst="rect">
          <a:avLst/>
        </a:prstGeom>
        <a:solidFill>
          <a:srgbClr val="0A4669"/>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algn="ctr"/>
          <a:r>
            <a:rPr lang="de-AT" sz="1000">
              <a:solidFill>
                <a:schemeClr val="bg1"/>
              </a:solidFill>
              <a:latin typeface="PP Pangram Sans Semibold" panose="00000705000000000000" pitchFamily="2" charset="0"/>
            </a:rPr>
            <a:t>TAG</a:t>
          </a:r>
        </a:p>
      </xdr:txBody>
    </xdr:sp>
    <xdr:clientData/>
  </xdr:twoCellAnchor>
  <xdr:twoCellAnchor>
    <xdr:from>
      <xdr:col>4</xdr:col>
      <xdr:colOff>247650</xdr:colOff>
      <xdr:row>35</xdr:row>
      <xdr:rowOff>96159</xdr:rowOff>
    </xdr:from>
    <xdr:to>
      <xdr:col>5</xdr:col>
      <xdr:colOff>282879</xdr:colOff>
      <xdr:row>36</xdr:row>
      <xdr:rowOff>150459</xdr:rowOff>
    </xdr:to>
    <xdr:sp macro="" textlink="">
      <xdr:nvSpPr>
        <xdr:cNvPr id="49" name="Rechteck 48">
          <a:extLst>
            <a:ext uri="{FF2B5EF4-FFF2-40B4-BE49-F238E27FC236}">
              <a16:creationId xmlns:a16="http://schemas.microsoft.com/office/drawing/2014/main" id="{62CEA96E-84DA-4ADB-9949-E3C45952B25E}"/>
            </a:ext>
          </a:extLst>
        </xdr:cNvPr>
        <xdr:cNvSpPr/>
      </xdr:nvSpPr>
      <xdr:spPr>
        <a:xfrm>
          <a:off x="5095875" y="6830334"/>
          <a:ext cx="1273479" cy="244800"/>
        </a:xfrm>
        <a:prstGeom prst="rect">
          <a:avLst/>
        </a:prstGeom>
        <a:solidFill>
          <a:srgbClr val="0A4669"/>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r>
            <a:rPr lang="de-AT" sz="1000" kern="1200">
              <a:solidFill>
                <a:schemeClr val="bg1"/>
              </a:solidFill>
              <a:latin typeface="PP Pangram Sans Semibold" panose="00000705000000000000" pitchFamily="2" charset="0"/>
              <a:ea typeface="+mn-ea"/>
              <a:cs typeface="+mn-cs"/>
            </a:rPr>
            <a:t>Com</a:t>
          </a:r>
          <a:r>
            <a:rPr lang="de-AT" sz="1000">
              <a:solidFill>
                <a:schemeClr val="bg1"/>
              </a:solidFill>
              <a:latin typeface="PP Pangram Sans Semibold" panose="00000705000000000000" pitchFamily="2" charset="0"/>
            </a:rPr>
            <a:t>. E/X split</a:t>
          </a:r>
        </a:p>
      </xdr:txBody>
    </xdr:sp>
    <xdr:clientData/>
  </xdr:twoCellAnchor>
  <xdr:twoCellAnchor>
    <xdr:from>
      <xdr:col>5</xdr:col>
      <xdr:colOff>339587</xdr:colOff>
      <xdr:row>35</xdr:row>
      <xdr:rowOff>96159</xdr:rowOff>
    </xdr:from>
    <xdr:to>
      <xdr:col>5</xdr:col>
      <xdr:colOff>892105</xdr:colOff>
      <xdr:row>36</xdr:row>
      <xdr:rowOff>150459</xdr:rowOff>
    </xdr:to>
    <xdr:sp macro="" textlink="$C$28">
      <xdr:nvSpPr>
        <xdr:cNvPr id="50" name="Rechteck 49">
          <a:extLst>
            <a:ext uri="{FF2B5EF4-FFF2-40B4-BE49-F238E27FC236}">
              <a16:creationId xmlns:a16="http://schemas.microsoft.com/office/drawing/2014/main" id="{5F980637-D271-4905-BC5F-0771B6452CE7}"/>
            </a:ext>
          </a:extLst>
        </xdr:cNvPr>
        <xdr:cNvSpPr/>
      </xdr:nvSpPr>
      <xdr:spPr>
        <a:xfrm>
          <a:off x="6426062" y="6830334"/>
          <a:ext cx="552518" cy="244800"/>
        </a:xfrm>
        <a:prstGeom prst="rect">
          <a:avLst/>
        </a:prstGeom>
        <a:solidFill>
          <a:srgbClr val="0A4669"/>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marL="0" indent="0" algn="ctr" defTabSz="144000" rtl="0" eaLnBrk="1" latinLnBrk="0" hangingPunct="1"/>
          <a:fld id="{52CA7CA1-FDD1-41AC-B23A-0A424A2D2EA3}" type="TxLink">
            <a:rPr lang="en-US" sz="1100" b="1" i="0" u="none" strike="noStrike" kern="1200">
              <a:solidFill>
                <a:schemeClr val="bg1"/>
              </a:solidFill>
              <a:latin typeface="Calibri"/>
              <a:ea typeface="Calibri"/>
              <a:cs typeface="Calibri"/>
            </a:rPr>
            <a:pPr marL="0" indent="0" algn="ctr" defTabSz="144000" rtl="0" eaLnBrk="1" latinLnBrk="0" hangingPunct="1"/>
            <a:t>25,0%</a:t>
          </a:fld>
          <a:endParaRPr lang="de-AT" sz="1100" b="1" i="0" u="none" strike="noStrike" kern="1200">
            <a:solidFill>
              <a:schemeClr val="bg1"/>
            </a:solidFill>
            <a:latin typeface="Calibri"/>
            <a:ea typeface="Calibri"/>
            <a:cs typeface="Calibri"/>
          </a:endParaRPr>
        </a:p>
      </xdr:txBody>
    </xdr:sp>
    <xdr:clientData/>
  </xdr:twoCellAnchor>
  <xdr:twoCellAnchor>
    <xdr:from>
      <xdr:col>6</xdr:col>
      <xdr:colOff>262842</xdr:colOff>
      <xdr:row>35</xdr:row>
      <xdr:rowOff>96159</xdr:rowOff>
    </xdr:from>
    <xdr:to>
      <xdr:col>7</xdr:col>
      <xdr:colOff>679360</xdr:colOff>
      <xdr:row>36</xdr:row>
      <xdr:rowOff>150459</xdr:rowOff>
    </xdr:to>
    <xdr:sp macro="" textlink="">
      <xdr:nvSpPr>
        <xdr:cNvPr id="51" name="Rechteck 50">
          <a:extLst>
            <a:ext uri="{FF2B5EF4-FFF2-40B4-BE49-F238E27FC236}">
              <a16:creationId xmlns:a16="http://schemas.microsoft.com/office/drawing/2014/main" id="{ECEA04F8-740A-4680-A388-B933CAA05522}"/>
            </a:ext>
          </a:extLst>
        </xdr:cNvPr>
        <xdr:cNvSpPr/>
      </xdr:nvSpPr>
      <xdr:spPr>
        <a:xfrm>
          <a:off x="7558992" y="6830334"/>
          <a:ext cx="1254718" cy="244800"/>
        </a:xfrm>
        <a:prstGeom prst="rect">
          <a:avLst/>
        </a:prstGeom>
        <a:solidFill>
          <a:srgbClr val="0A4669"/>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r>
            <a:rPr lang="de-AT" sz="1000">
              <a:solidFill>
                <a:schemeClr val="bg1"/>
              </a:solidFill>
              <a:latin typeface="PP Pangram Sans Semibold" panose="00000705000000000000" pitchFamily="2" charset="0"/>
            </a:rPr>
            <a:t>CAA commodity</a:t>
          </a:r>
        </a:p>
      </xdr:txBody>
    </xdr:sp>
    <xdr:clientData/>
  </xdr:twoCellAnchor>
  <xdr:twoCellAnchor>
    <xdr:from>
      <xdr:col>7</xdr:col>
      <xdr:colOff>723111</xdr:colOff>
      <xdr:row>35</xdr:row>
      <xdr:rowOff>96159</xdr:rowOff>
    </xdr:from>
    <xdr:to>
      <xdr:col>8</xdr:col>
      <xdr:colOff>359996</xdr:colOff>
      <xdr:row>36</xdr:row>
      <xdr:rowOff>150459</xdr:rowOff>
    </xdr:to>
    <xdr:sp macro="" textlink="$C$25">
      <xdr:nvSpPr>
        <xdr:cNvPr id="52" name="Rechteck 51">
          <a:extLst>
            <a:ext uri="{FF2B5EF4-FFF2-40B4-BE49-F238E27FC236}">
              <a16:creationId xmlns:a16="http://schemas.microsoft.com/office/drawing/2014/main" id="{5F1F3B4F-25F9-48D1-84D9-E7AC7A5A1EC2}"/>
            </a:ext>
          </a:extLst>
        </xdr:cNvPr>
        <xdr:cNvSpPr/>
      </xdr:nvSpPr>
      <xdr:spPr>
        <a:xfrm>
          <a:off x="8857461" y="6830334"/>
          <a:ext cx="541760" cy="244800"/>
        </a:xfrm>
        <a:prstGeom prst="rect">
          <a:avLst/>
        </a:prstGeom>
        <a:solidFill>
          <a:srgbClr val="0A4669"/>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marL="0" indent="0" algn="ctr" defTabSz="144000" rtl="0" eaLnBrk="1" latinLnBrk="0" hangingPunct="1"/>
          <a:fld id="{1507DC54-7C16-4241-82E5-5C2DF5A8511E}" type="TxLink">
            <a:rPr lang="en-US" sz="1100" b="1" i="0" u="none" strike="noStrike" kern="1200">
              <a:solidFill>
                <a:schemeClr val="bg1"/>
              </a:solidFill>
              <a:latin typeface="Calibri"/>
              <a:ea typeface="Calibri"/>
              <a:cs typeface="Calibri"/>
            </a:rPr>
            <a:pPr marL="0" indent="0" algn="ctr" defTabSz="144000" rtl="0" eaLnBrk="1" latinLnBrk="0" hangingPunct="1"/>
            <a:t>11,53%</a:t>
          </a:fld>
          <a:endParaRPr lang="de-AT" sz="1100" b="1" i="0" u="none" strike="noStrike" kern="1200">
            <a:solidFill>
              <a:schemeClr val="bg1"/>
            </a:solidFill>
            <a:latin typeface="Calibri"/>
            <a:ea typeface="Calibri"/>
            <a:cs typeface="Calibri"/>
          </a:endParaRPr>
        </a:p>
      </xdr:txBody>
    </xdr:sp>
    <xdr:clientData/>
  </xdr:twoCellAnchor>
  <xdr:twoCellAnchor>
    <xdr:from>
      <xdr:col>4</xdr:col>
      <xdr:colOff>243840</xdr:colOff>
      <xdr:row>27</xdr:row>
      <xdr:rowOff>21997</xdr:rowOff>
    </xdr:from>
    <xdr:to>
      <xdr:col>5</xdr:col>
      <xdr:colOff>893490</xdr:colOff>
      <xdr:row>28</xdr:row>
      <xdr:rowOff>76297</xdr:rowOff>
    </xdr:to>
    <xdr:sp macro="" textlink="">
      <xdr:nvSpPr>
        <xdr:cNvPr id="53" name="Rechteck 52">
          <a:extLst>
            <a:ext uri="{FF2B5EF4-FFF2-40B4-BE49-F238E27FC236}">
              <a16:creationId xmlns:a16="http://schemas.microsoft.com/office/drawing/2014/main" id="{A3CDACBA-E327-4319-95BB-54055802D141}"/>
            </a:ext>
          </a:extLst>
        </xdr:cNvPr>
        <xdr:cNvSpPr/>
      </xdr:nvSpPr>
      <xdr:spPr>
        <a:xfrm>
          <a:off x="5092065" y="5222647"/>
          <a:ext cx="1887900" cy="244800"/>
        </a:xfrm>
        <a:prstGeom prst="rect">
          <a:avLst/>
        </a:prstGeom>
        <a:solidFill>
          <a:srgbClr val="0A4669"/>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r>
            <a:rPr lang="de-AT" sz="1000">
              <a:solidFill>
                <a:schemeClr val="bg1"/>
              </a:solidFill>
              <a:latin typeface="PP Pangram Sans Semibold" panose="00000705000000000000" pitchFamily="2" charset="0"/>
            </a:rPr>
            <a:t>Planned commodity rev.</a:t>
          </a:r>
        </a:p>
      </xdr:txBody>
    </xdr:sp>
    <xdr:clientData/>
  </xdr:twoCellAnchor>
  <xdr:twoCellAnchor>
    <xdr:from>
      <xdr:col>6</xdr:col>
      <xdr:colOff>22876</xdr:colOff>
      <xdr:row>27</xdr:row>
      <xdr:rowOff>21997</xdr:rowOff>
    </xdr:from>
    <xdr:to>
      <xdr:col>6</xdr:col>
      <xdr:colOff>558157</xdr:colOff>
      <xdr:row>28</xdr:row>
      <xdr:rowOff>76297</xdr:rowOff>
    </xdr:to>
    <xdr:sp macro="" textlink="$AF$35">
      <xdr:nvSpPr>
        <xdr:cNvPr id="54" name="Rechteck 53">
          <a:extLst>
            <a:ext uri="{FF2B5EF4-FFF2-40B4-BE49-F238E27FC236}">
              <a16:creationId xmlns:a16="http://schemas.microsoft.com/office/drawing/2014/main" id="{B13CFB63-E47E-4607-B1BD-2B028098E481}"/>
            </a:ext>
          </a:extLst>
        </xdr:cNvPr>
        <xdr:cNvSpPr/>
      </xdr:nvSpPr>
      <xdr:spPr>
        <a:xfrm>
          <a:off x="7319026" y="5222647"/>
          <a:ext cx="535281" cy="244800"/>
        </a:xfrm>
        <a:prstGeom prst="rect">
          <a:avLst/>
        </a:prstGeom>
        <a:solidFill>
          <a:schemeClr val="bg1">
            <a:lumMod val="85000"/>
          </a:schemeClr>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marL="0" indent="0" algn="ctr" defTabSz="144000" rtl="0" eaLnBrk="1" latinLnBrk="0" hangingPunct="1"/>
          <a:fld id="{7BED94B2-B65F-49FD-B090-812BE21A3CAA}" type="TxLink">
            <a:rPr lang="en-US" sz="1100" b="0" i="0" u="none" strike="noStrike">
              <a:solidFill>
                <a:schemeClr val="bg1">
                  <a:lumMod val="50000"/>
                </a:schemeClr>
              </a:solidFill>
              <a:latin typeface="Calibri"/>
              <a:ea typeface="+mn-ea"/>
              <a:cs typeface="Calibri"/>
            </a:rPr>
            <a:pPr marL="0" indent="0" algn="ctr" defTabSz="144000" rtl="0" eaLnBrk="1" latinLnBrk="0" hangingPunct="1"/>
            <a:t>17,7</a:t>
          </a:fld>
          <a:endParaRPr lang="de-AT" sz="1100" b="0" i="0" u="none" strike="noStrike">
            <a:solidFill>
              <a:schemeClr val="bg1">
                <a:lumMod val="50000"/>
              </a:schemeClr>
            </a:solidFill>
            <a:latin typeface="Calibri"/>
            <a:ea typeface="+mn-ea"/>
            <a:cs typeface="Calibri"/>
          </a:endParaRPr>
        </a:p>
      </xdr:txBody>
    </xdr:sp>
    <xdr:clientData/>
  </xdr:twoCellAnchor>
  <xdr:twoCellAnchor>
    <xdr:from>
      <xdr:col>6</xdr:col>
      <xdr:colOff>809706</xdr:colOff>
      <xdr:row>27</xdr:row>
      <xdr:rowOff>21997</xdr:rowOff>
    </xdr:from>
    <xdr:to>
      <xdr:col>7</xdr:col>
      <xdr:colOff>488113</xdr:colOff>
      <xdr:row>28</xdr:row>
      <xdr:rowOff>76297</xdr:rowOff>
    </xdr:to>
    <xdr:sp macro="" textlink="$AF$37">
      <xdr:nvSpPr>
        <xdr:cNvPr id="55" name="Rechteck 54">
          <a:extLst>
            <a:ext uri="{FF2B5EF4-FFF2-40B4-BE49-F238E27FC236}">
              <a16:creationId xmlns:a16="http://schemas.microsoft.com/office/drawing/2014/main" id="{30A649BD-73B6-4160-A4C8-6FED6A08039C}"/>
            </a:ext>
          </a:extLst>
        </xdr:cNvPr>
        <xdr:cNvSpPr/>
      </xdr:nvSpPr>
      <xdr:spPr>
        <a:xfrm>
          <a:off x="8105856" y="5222647"/>
          <a:ext cx="516607" cy="244800"/>
        </a:xfrm>
        <a:prstGeom prst="rect">
          <a:avLst/>
        </a:prstGeom>
        <a:solidFill>
          <a:srgbClr val="DCE6F2"/>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marL="0" indent="0" algn="ctr" defTabSz="144000" rtl="0" eaLnBrk="1" latinLnBrk="0" hangingPunct="1"/>
          <a:fld id="{04804986-71FB-4BC8-BADF-151023138F81}" type="TxLink">
            <a:rPr lang="en-US" sz="1100" b="0" i="0" u="none" strike="noStrike" kern="1200">
              <a:solidFill>
                <a:schemeClr val="bg1">
                  <a:lumMod val="50000"/>
                </a:schemeClr>
              </a:solidFill>
              <a:latin typeface="Calibri"/>
              <a:ea typeface="Calibri"/>
              <a:cs typeface="Calibri"/>
            </a:rPr>
            <a:pPr marL="0" indent="0" algn="ctr" defTabSz="144000" rtl="0" eaLnBrk="1" latinLnBrk="0" hangingPunct="1"/>
            <a:t>2,0</a:t>
          </a:fld>
          <a:endParaRPr lang="de-AT" sz="1100" b="0" i="0" u="none" strike="noStrike" kern="1200">
            <a:solidFill>
              <a:schemeClr val="bg1">
                <a:lumMod val="50000"/>
              </a:schemeClr>
            </a:solidFill>
            <a:latin typeface="Calibri"/>
            <a:ea typeface="Calibri"/>
            <a:cs typeface="Calibri"/>
          </a:endParaRPr>
        </a:p>
      </xdr:txBody>
    </xdr:sp>
    <xdr:clientData/>
  </xdr:twoCellAnchor>
  <xdr:twoCellAnchor>
    <xdr:from>
      <xdr:col>7</xdr:col>
      <xdr:colOff>739661</xdr:colOff>
      <xdr:row>27</xdr:row>
      <xdr:rowOff>21997</xdr:rowOff>
    </xdr:from>
    <xdr:to>
      <xdr:col>8</xdr:col>
      <xdr:colOff>359996</xdr:colOff>
      <xdr:row>28</xdr:row>
      <xdr:rowOff>76297</xdr:rowOff>
    </xdr:to>
    <xdr:sp macro="" textlink="$AF$36">
      <xdr:nvSpPr>
        <xdr:cNvPr id="56" name="Rechteck 55">
          <a:extLst>
            <a:ext uri="{FF2B5EF4-FFF2-40B4-BE49-F238E27FC236}">
              <a16:creationId xmlns:a16="http://schemas.microsoft.com/office/drawing/2014/main" id="{19048E0C-886D-43E6-8CA7-3E3DA39E64DC}"/>
            </a:ext>
          </a:extLst>
        </xdr:cNvPr>
        <xdr:cNvSpPr/>
      </xdr:nvSpPr>
      <xdr:spPr>
        <a:xfrm>
          <a:off x="8874011" y="5222647"/>
          <a:ext cx="525210" cy="244800"/>
        </a:xfrm>
        <a:prstGeom prst="rect">
          <a:avLst/>
        </a:prstGeom>
        <a:solidFill>
          <a:schemeClr val="bg1">
            <a:lumMod val="85000"/>
          </a:schemeClr>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marL="0" indent="0" algn="ctr" defTabSz="144000" rtl="0" eaLnBrk="1" latinLnBrk="0" hangingPunct="1"/>
          <a:fld id="{612A8D8E-83ED-4AB7-AC95-B2B1A270A8FB}" type="TxLink">
            <a:rPr lang="en-US" sz="1100" b="0" i="0" u="none" strike="noStrike" kern="1200">
              <a:solidFill>
                <a:schemeClr val="bg1">
                  <a:lumMod val="50000"/>
                </a:schemeClr>
              </a:solidFill>
              <a:latin typeface="Calibri"/>
              <a:ea typeface="+mn-ea"/>
              <a:cs typeface="Calibri"/>
            </a:rPr>
            <a:pPr marL="0" indent="0" algn="ctr" defTabSz="144000" rtl="0" eaLnBrk="1" latinLnBrk="0" hangingPunct="1"/>
            <a:t>3,5</a:t>
          </a:fld>
          <a:endParaRPr lang="de-AT" sz="1100" b="0" i="0" u="none" strike="noStrike" kern="1200">
            <a:solidFill>
              <a:schemeClr val="bg1">
                <a:lumMod val="50000"/>
              </a:schemeClr>
            </a:solidFill>
            <a:latin typeface="Calibri"/>
            <a:ea typeface="+mn-ea"/>
            <a:cs typeface="Calibri"/>
          </a:endParaRPr>
        </a:p>
      </xdr:txBody>
    </xdr:sp>
    <xdr:clientData/>
  </xdr:twoCellAnchor>
  <xdr:twoCellAnchor>
    <xdr:from>
      <xdr:col>6</xdr:col>
      <xdr:colOff>556252</xdr:colOff>
      <xdr:row>26</xdr:row>
      <xdr:rowOff>43394</xdr:rowOff>
    </xdr:from>
    <xdr:to>
      <xdr:col>7</xdr:col>
      <xdr:colOff>223086</xdr:colOff>
      <xdr:row>27</xdr:row>
      <xdr:rowOff>21997</xdr:rowOff>
    </xdr:to>
    <xdr:cxnSp macro="">
      <xdr:nvCxnSpPr>
        <xdr:cNvPr id="57" name="Verbinder: gewinkelt 56">
          <a:extLst>
            <a:ext uri="{FF2B5EF4-FFF2-40B4-BE49-F238E27FC236}">
              <a16:creationId xmlns:a16="http://schemas.microsoft.com/office/drawing/2014/main" id="{E4F90038-1E85-4BC3-9C4B-D94B643EF11C}"/>
            </a:ext>
          </a:extLst>
        </xdr:cNvPr>
        <xdr:cNvCxnSpPr>
          <a:stCxn id="38" idx="3"/>
          <a:endCxn id="55" idx="0"/>
        </xdr:cNvCxnSpPr>
      </xdr:nvCxnSpPr>
      <xdr:spPr>
        <a:xfrm>
          <a:off x="7852402" y="5053544"/>
          <a:ext cx="505034" cy="169103"/>
        </a:xfrm>
        <a:prstGeom prst="bentConnector2">
          <a:avLst/>
        </a:prstGeom>
        <a:ln>
          <a:solidFill>
            <a:schemeClr val="bg1">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223087</xdr:colOff>
      <xdr:row>26</xdr:row>
      <xdr:rowOff>43393</xdr:rowOff>
    </xdr:from>
    <xdr:to>
      <xdr:col>7</xdr:col>
      <xdr:colOff>743472</xdr:colOff>
      <xdr:row>27</xdr:row>
      <xdr:rowOff>21996</xdr:rowOff>
    </xdr:to>
    <xdr:cxnSp macro="">
      <xdr:nvCxnSpPr>
        <xdr:cNvPr id="58" name="Verbinder: gewinkelt 57">
          <a:extLst>
            <a:ext uri="{FF2B5EF4-FFF2-40B4-BE49-F238E27FC236}">
              <a16:creationId xmlns:a16="http://schemas.microsoft.com/office/drawing/2014/main" id="{6F424449-8F24-40DE-B429-CB59A1B48413}"/>
            </a:ext>
          </a:extLst>
        </xdr:cNvPr>
        <xdr:cNvCxnSpPr>
          <a:stCxn id="46" idx="1"/>
          <a:endCxn id="55" idx="0"/>
        </xdr:cNvCxnSpPr>
      </xdr:nvCxnSpPr>
      <xdr:spPr>
        <a:xfrm rot="10800000" flipV="1">
          <a:off x="8357437" y="5053543"/>
          <a:ext cx="520385" cy="169103"/>
        </a:xfrm>
        <a:prstGeom prst="bentConnector2">
          <a:avLst/>
        </a:prstGeom>
        <a:ln>
          <a:solidFill>
            <a:schemeClr val="bg1">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243840</xdr:colOff>
      <xdr:row>33</xdr:row>
      <xdr:rowOff>78441</xdr:rowOff>
    </xdr:from>
    <xdr:to>
      <xdr:col>5</xdr:col>
      <xdr:colOff>891540</xdr:colOff>
      <xdr:row>34</xdr:row>
      <xdr:rowOff>132741</xdr:rowOff>
    </xdr:to>
    <xdr:sp macro="" textlink="">
      <xdr:nvSpPr>
        <xdr:cNvPr id="59" name="Rechteck 58">
          <a:extLst>
            <a:ext uri="{FF2B5EF4-FFF2-40B4-BE49-F238E27FC236}">
              <a16:creationId xmlns:a16="http://schemas.microsoft.com/office/drawing/2014/main" id="{CE2841A3-D0A8-4845-AAB1-B687759A8741}"/>
            </a:ext>
          </a:extLst>
        </xdr:cNvPr>
        <xdr:cNvSpPr/>
      </xdr:nvSpPr>
      <xdr:spPr>
        <a:xfrm>
          <a:off x="5092065" y="6431616"/>
          <a:ext cx="1885950" cy="244800"/>
        </a:xfrm>
        <a:prstGeom prst="rect">
          <a:avLst/>
        </a:prstGeom>
        <a:solidFill>
          <a:srgbClr val="0A4669"/>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r>
            <a:rPr lang="de-AT" sz="1000">
              <a:solidFill>
                <a:schemeClr val="bg1"/>
              </a:solidFill>
              <a:latin typeface="PP Pangram Sans Semibold" panose="00000705000000000000" pitchFamily="2" charset="0"/>
            </a:rPr>
            <a:t>Delta</a:t>
          </a:r>
        </a:p>
      </xdr:txBody>
    </xdr:sp>
    <xdr:clientData/>
  </xdr:twoCellAnchor>
  <xdr:twoCellAnchor>
    <xdr:from>
      <xdr:col>6</xdr:col>
      <xdr:colOff>19066</xdr:colOff>
      <xdr:row>33</xdr:row>
      <xdr:rowOff>78441</xdr:rowOff>
    </xdr:from>
    <xdr:to>
      <xdr:col>6</xdr:col>
      <xdr:colOff>556252</xdr:colOff>
      <xdr:row>34</xdr:row>
      <xdr:rowOff>132741</xdr:rowOff>
    </xdr:to>
    <xdr:sp macro="" textlink="$AF$44">
      <xdr:nvSpPr>
        <xdr:cNvPr id="60" name="Rechteck 59">
          <a:extLst>
            <a:ext uri="{FF2B5EF4-FFF2-40B4-BE49-F238E27FC236}">
              <a16:creationId xmlns:a16="http://schemas.microsoft.com/office/drawing/2014/main" id="{27EEF3D0-749D-4294-8945-2F429C680BBD}"/>
            </a:ext>
          </a:extLst>
        </xdr:cNvPr>
        <xdr:cNvSpPr/>
      </xdr:nvSpPr>
      <xdr:spPr>
        <a:xfrm>
          <a:off x="7315216" y="6431616"/>
          <a:ext cx="537186" cy="244800"/>
        </a:xfrm>
        <a:prstGeom prst="rect">
          <a:avLst/>
        </a:prstGeom>
        <a:solidFill>
          <a:schemeClr val="bg1">
            <a:lumMod val="85000"/>
          </a:schemeClr>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marL="0" indent="0" algn="ctr" defTabSz="144000" rtl="0" eaLnBrk="1" latinLnBrk="0" hangingPunct="1"/>
          <a:fld id="{F4546581-28FA-4BC8-ACBA-4C4CEF834C69}" type="TxLink">
            <a:rPr lang="en-US" sz="1100" b="0" i="0" u="none" strike="noStrike" kern="1200">
              <a:solidFill>
                <a:schemeClr val="bg1">
                  <a:lumMod val="50000"/>
                </a:schemeClr>
              </a:solidFill>
              <a:latin typeface="Calibri"/>
              <a:ea typeface="Calibri"/>
              <a:cs typeface="Calibri"/>
            </a:rPr>
            <a:pPr marL="0" indent="0" algn="ctr" defTabSz="144000" rtl="0" eaLnBrk="1" latinLnBrk="0" hangingPunct="1"/>
            <a:t>0,0</a:t>
          </a:fld>
          <a:endParaRPr lang="de-AT" sz="1100" b="0" i="0" u="none" strike="noStrike" kern="1200">
            <a:solidFill>
              <a:schemeClr val="bg1">
                <a:lumMod val="50000"/>
              </a:schemeClr>
            </a:solidFill>
            <a:latin typeface="Calibri"/>
            <a:ea typeface="Calibri"/>
            <a:cs typeface="Calibri"/>
          </a:endParaRPr>
        </a:p>
      </xdr:txBody>
    </xdr:sp>
    <xdr:clientData/>
  </xdr:twoCellAnchor>
  <xdr:twoCellAnchor>
    <xdr:from>
      <xdr:col>7</xdr:col>
      <xdr:colOff>743471</xdr:colOff>
      <xdr:row>33</xdr:row>
      <xdr:rowOff>78441</xdr:rowOff>
    </xdr:from>
    <xdr:to>
      <xdr:col>8</xdr:col>
      <xdr:colOff>363806</xdr:colOff>
      <xdr:row>34</xdr:row>
      <xdr:rowOff>132741</xdr:rowOff>
    </xdr:to>
    <xdr:sp macro="" textlink="$AF$45">
      <xdr:nvSpPr>
        <xdr:cNvPr id="61" name="Rechteck 60">
          <a:extLst>
            <a:ext uri="{FF2B5EF4-FFF2-40B4-BE49-F238E27FC236}">
              <a16:creationId xmlns:a16="http://schemas.microsoft.com/office/drawing/2014/main" id="{B594C82B-ECB2-4EA8-AC1E-F7B428C07B6A}"/>
            </a:ext>
          </a:extLst>
        </xdr:cNvPr>
        <xdr:cNvSpPr/>
      </xdr:nvSpPr>
      <xdr:spPr>
        <a:xfrm>
          <a:off x="8877821" y="6431616"/>
          <a:ext cx="525210" cy="244800"/>
        </a:xfrm>
        <a:prstGeom prst="rect">
          <a:avLst/>
        </a:prstGeom>
        <a:solidFill>
          <a:schemeClr val="bg1">
            <a:lumMod val="85000"/>
          </a:schemeClr>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marL="0" indent="0" algn="ctr" defTabSz="144000" rtl="0" eaLnBrk="1" latinLnBrk="0" hangingPunct="1"/>
          <a:fld id="{21F76E1B-DA1A-4842-A671-BF5647103624}" type="TxLink">
            <a:rPr lang="en-US" sz="1100" b="0" i="0" u="none" strike="noStrike" kern="1200">
              <a:solidFill>
                <a:schemeClr val="bg1">
                  <a:lumMod val="50000"/>
                </a:schemeClr>
              </a:solidFill>
              <a:latin typeface="Calibri"/>
              <a:ea typeface="Calibri"/>
              <a:cs typeface="Calibri"/>
            </a:rPr>
            <a:pPr marL="0" indent="0" algn="ctr" defTabSz="144000" rtl="0" eaLnBrk="1" latinLnBrk="0" hangingPunct="1"/>
            <a:t>0,0</a:t>
          </a:fld>
          <a:endParaRPr lang="de-AT" sz="1100" b="0" i="0" u="none" strike="noStrike" kern="1200">
            <a:solidFill>
              <a:schemeClr val="bg1">
                <a:lumMod val="50000"/>
              </a:schemeClr>
            </a:solidFill>
            <a:latin typeface="Calibri"/>
            <a:ea typeface="Calibri"/>
            <a:cs typeface="Calibri"/>
          </a:endParaRPr>
        </a:p>
      </xdr:txBody>
    </xdr:sp>
    <xdr:clientData/>
  </xdr:twoCellAnchor>
  <xdr:twoCellAnchor>
    <xdr:from>
      <xdr:col>6</xdr:col>
      <xdr:colOff>846017</xdr:colOff>
      <xdr:row>30</xdr:row>
      <xdr:rowOff>20731</xdr:rowOff>
    </xdr:from>
    <xdr:to>
      <xdr:col>7</xdr:col>
      <xdr:colOff>603257</xdr:colOff>
      <xdr:row>31</xdr:row>
      <xdr:rowOff>75031</xdr:rowOff>
    </xdr:to>
    <xdr:sp macro="" textlink="$AF$43">
      <xdr:nvSpPr>
        <xdr:cNvPr id="62" name="Rechteck 61">
          <a:extLst>
            <a:ext uri="{FF2B5EF4-FFF2-40B4-BE49-F238E27FC236}">
              <a16:creationId xmlns:a16="http://schemas.microsoft.com/office/drawing/2014/main" id="{C22A9B5A-B8C0-49A7-865F-1A40C35BC914}"/>
            </a:ext>
          </a:extLst>
        </xdr:cNvPr>
        <xdr:cNvSpPr/>
      </xdr:nvSpPr>
      <xdr:spPr>
        <a:xfrm>
          <a:off x="8132642" y="5792881"/>
          <a:ext cx="604965" cy="244800"/>
        </a:xfrm>
        <a:prstGeom prst="rect">
          <a:avLst/>
        </a:prstGeom>
        <a:no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marL="0" indent="0" algn="r" defTabSz="144000" rtl="0" eaLnBrk="1" latinLnBrk="0" hangingPunct="1"/>
          <a:fld id="{CA67662E-FC37-4A2A-82DA-37D24476E2EF}" type="TxLink">
            <a:rPr lang="en-US" sz="1100" b="0" i="0" u="none" strike="noStrike" kern="1200">
              <a:solidFill>
                <a:schemeClr val="bg1">
                  <a:lumMod val="50000"/>
                </a:schemeClr>
              </a:solidFill>
              <a:latin typeface="Calibri"/>
              <a:ea typeface="Calibri"/>
              <a:cs typeface="Calibri"/>
            </a:rPr>
            <a:pPr marL="0" indent="0" algn="r" defTabSz="144000" rtl="0" eaLnBrk="1" latinLnBrk="0" hangingPunct="1"/>
            <a:t>0,0</a:t>
          </a:fld>
          <a:endParaRPr lang="de-AT" sz="1100" b="0" i="0" u="none" strike="noStrike" kern="1200">
            <a:solidFill>
              <a:schemeClr val="bg1">
                <a:lumMod val="50000"/>
              </a:schemeClr>
            </a:solidFill>
            <a:latin typeface="Calibri"/>
            <a:ea typeface="Calibri"/>
            <a:cs typeface="Calibri"/>
          </a:endParaRPr>
        </a:p>
      </xdr:txBody>
    </xdr:sp>
    <xdr:clientData/>
  </xdr:twoCellAnchor>
  <xdr:twoCellAnchor>
    <xdr:from>
      <xdr:col>7</xdr:col>
      <xdr:colOff>222134</xdr:colOff>
      <xdr:row>28</xdr:row>
      <xdr:rowOff>76297</xdr:rowOff>
    </xdr:from>
    <xdr:to>
      <xdr:col>7</xdr:col>
      <xdr:colOff>223086</xdr:colOff>
      <xdr:row>31</xdr:row>
      <xdr:rowOff>174905</xdr:rowOff>
    </xdr:to>
    <xdr:cxnSp macro="">
      <xdr:nvCxnSpPr>
        <xdr:cNvPr id="63" name="Gerade Verbindung mit Pfeil 62">
          <a:extLst>
            <a:ext uri="{FF2B5EF4-FFF2-40B4-BE49-F238E27FC236}">
              <a16:creationId xmlns:a16="http://schemas.microsoft.com/office/drawing/2014/main" id="{8BDE4097-2E0E-40E5-A14F-DEC878240360}"/>
            </a:ext>
          </a:extLst>
        </xdr:cNvPr>
        <xdr:cNvCxnSpPr>
          <a:stCxn id="55" idx="2"/>
          <a:endCxn id="42" idx="0"/>
        </xdr:cNvCxnSpPr>
      </xdr:nvCxnSpPr>
      <xdr:spPr>
        <a:xfrm flipH="1">
          <a:off x="8356484" y="5467447"/>
          <a:ext cx="952" cy="670108"/>
        </a:xfrm>
        <a:prstGeom prst="straightConnector1">
          <a:avLst/>
        </a:prstGeom>
        <a:ln>
          <a:solidFill>
            <a:schemeClr val="bg1">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556252</xdr:colOff>
      <xdr:row>29</xdr:row>
      <xdr:rowOff>172937</xdr:rowOff>
    </xdr:from>
    <xdr:to>
      <xdr:col>7</xdr:col>
      <xdr:colOff>743471</xdr:colOff>
      <xdr:row>29</xdr:row>
      <xdr:rowOff>182461</xdr:rowOff>
    </xdr:to>
    <xdr:cxnSp macro="">
      <xdr:nvCxnSpPr>
        <xdr:cNvPr id="64" name="Gerader Verbinder 63">
          <a:extLst>
            <a:ext uri="{FF2B5EF4-FFF2-40B4-BE49-F238E27FC236}">
              <a16:creationId xmlns:a16="http://schemas.microsoft.com/office/drawing/2014/main" id="{686B89FB-8534-4C24-A40D-1E56510A4C33}"/>
            </a:ext>
          </a:extLst>
        </xdr:cNvPr>
        <xdr:cNvCxnSpPr>
          <a:stCxn id="37" idx="3"/>
          <a:endCxn id="45" idx="1"/>
        </xdr:cNvCxnSpPr>
      </xdr:nvCxnSpPr>
      <xdr:spPr>
        <a:xfrm flipV="1">
          <a:off x="7852402" y="5754587"/>
          <a:ext cx="1025419" cy="9524"/>
        </a:xfrm>
        <a:prstGeom prst="line">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556252</xdr:colOff>
      <xdr:row>32</xdr:row>
      <xdr:rowOff>95599</xdr:rowOff>
    </xdr:from>
    <xdr:to>
      <xdr:col>6</xdr:col>
      <xdr:colOff>807801</xdr:colOff>
      <xdr:row>32</xdr:row>
      <xdr:rowOff>95599</xdr:rowOff>
    </xdr:to>
    <xdr:cxnSp macro="">
      <xdr:nvCxnSpPr>
        <xdr:cNvPr id="65" name="Gerade Verbindung mit Pfeil 64">
          <a:extLst>
            <a:ext uri="{FF2B5EF4-FFF2-40B4-BE49-F238E27FC236}">
              <a16:creationId xmlns:a16="http://schemas.microsoft.com/office/drawing/2014/main" id="{4DC37E47-AF73-4A02-B6C1-5807EAFD09BE}"/>
            </a:ext>
          </a:extLst>
        </xdr:cNvPr>
        <xdr:cNvCxnSpPr>
          <a:stCxn id="42" idx="1"/>
          <a:endCxn id="40" idx="3"/>
        </xdr:cNvCxnSpPr>
      </xdr:nvCxnSpPr>
      <xdr:spPr>
        <a:xfrm flipH="1">
          <a:off x="7852402" y="6258274"/>
          <a:ext cx="251549" cy="0"/>
        </a:xfrm>
        <a:prstGeom prst="straightConnector1">
          <a:avLst/>
        </a:prstGeom>
        <a:ln>
          <a:solidFill>
            <a:schemeClr val="bg1">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488113</xdr:colOff>
      <xdr:row>32</xdr:row>
      <xdr:rowOff>95599</xdr:rowOff>
    </xdr:from>
    <xdr:to>
      <xdr:col>7</xdr:col>
      <xdr:colOff>739661</xdr:colOff>
      <xdr:row>32</xdr:row>
      <xdr:rowOff>95599</xdr:rowOff>
    </xdr:to>
    <xdr:cxnSp macro="">
      <xdr:nvCxnSpPr>
        <xdr:cNvPr id="66" name="Gerade Verbindung mit Pfeil 65">
          <a:extLst>
            <a:ext uri="{FF2B5EF4-FFF2-40B4-BE49-F238E27FC236}">
              <a16:creationId xmlns:a16="http://schemas.microsoft.com/office/drawing/2014/main" id="{830E30E9-36F7-45F2-94B7-DEB063DAD2D1}"/>
            </a:ext>
          </a:extLst>
        </xdr:cNvPr>
        <xdr:cNvCxnSpPr>
          <a:stCxn id="42" idx="3"/>
          <a:endCxn id="47" idx="1"/>
        </xdr:cNvCxnSpPr>
      </xdr:nvCxnSpPr>
      <xdr:spPr>
        <a:xfrm>
          <a:off x="8622463" y="6258274"/>
          <a:ext cx="251548" cy="0"/>
        </a:xfrm>
        <a:prstGeom prst="straightConnector1">
          <a:avLst/>
        </a:prstGeom>
        <a:ln>
          <a:solidFill>
            <a:schemeClr val="bg1">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488113</xdr:colOff>
      <xdr:row>27</xdr:row>
      <xdr:rowOff>144397</xdr:rowOff>
    </xdr:from>
    <xdr:to>
      <xdr:col>7</xdr:col>
      <xdr:colOff>739661</xdr:colOff>
      <xdr:row>27</xdr:row>
      <xdr:rowOff>144397</xdr:rowOff>
    </xdr:to>
    <xdr:cxnSp macro="">
      <xdr:nvCxnSpPr>
        <xdr:cNvPr id="67" name="Gerade Verbindung mit Pfeil 66">
          <a:extLst>
            <a:ext uri="{FF2B5EF4-FFF2-40B4-BE49-F238E27FC236}">
              <a16:creationId xmlns:a16="http://schemas.microsoft.com/office/drawing/2014/main" id="{B569A15A-C908-45D1-8C63-DA7D4C55769B}"/>
            </a:ext>
          </a:extLst>
        </xdr:cNvPr>
        <xdr:cNvCxnSpPr>
          <a:stCxn id="55" idx="3"/>
          <a:endCxn id="56" idx="1"/>
        </xdr:cNvCxnSpPr>
      </xdr:nvCxnSpPr>
      <xdr:spPr>
        <a:xfrm>
          <a:off x="8622463" y="5345047"/>
          <a:ext cx="251548" cy="0"/>
        </a:xfrm>
        <a:prstGeom prst="straightConnector1">
          <a:avLst/>
        </a:prstGeom>
        <a:ln>
          <a:solidFill>
            <a:schemeClr val="bg1">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558157</xdr:colOff>
      <xdr:row>27</xdr:row>
      <xdr:rowOff>144397</xdr:rowOff>
    </xdr:from>
    <xdr:to>
      <xdr:col>6</xdr:col>
      <xdr:colOff>809706</xdr:colOff>
      <xdr:row>27</xdr:row>
      <xdr:rowOff>144397</xdr:rowOff>
    </xdr:to>
    <xdr:cxnSp macro="">
      <xdr:nvCxnSpPr>
        <xdr:cNvPr id="68" name="Gerade Verbindung mit Pfeil 67">
          <a:extLst>
            <a:ext uri="{FF2B5EF4-FFF2-40B4-BE49-F238E27FC236}">
              <a16:creationId xmlns:a16="http://schemas.microsoft.com/office/drawing/2014/main" id="{F5AF10D2-1D12-4D39-A3AA-D77F91FD2D6B}"/>
            </a:ext>
          </a:extLst>
        </xdr:cNvPr>
        <xdr:cNvCxnSpPr>
          <a:stCxn id="55" idx="1"/>
          <a:endCxn id="54" idx="3"/>
        </xdr:cNvCxnSpPr>
      </xdr:nvCxnSpPr>
      <xdr:spPr>
        <a:xfrm flipH="1">
          <a:off x="7854307" y="5345047"/>
          <a:ext cx="251549" cy="0"/>
        </a:xfrm>
        <a:prstGeom prst="straightConnector1">
          <a:avLst/>
        </a:prstGeom>
        <a:ln>
          <a:solidFill>
            <a:schemeClr val="bg1">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488113</xdr:colOff>
      <xdr:row>9</xdr:row>
      <xdr:rowOff>144397</xdr:rowOff>
    </xdr:from>
    <xdr:to>
      <xdr:col>7</xdr:col>
      <xdr:colOff>739661</xdr:colOff>
      <xdr:row>9</xdr:row>
      <xdr:rowOff>144397</xdr:rowOff>
    </xdr:to>
    <xdr:cxnSp macro="">
      <xdr:nvCxnSpPr>
        <xdr:cNvPr id="69" name="Gerade Verbindung mit Pfeil 68">
          <a:extLst>
            <a:ext uri="{FF2B5EF4-FFF2-40B4-BE49-F238E27FC236}">
              <a16:creationId xmlns:a16="http://schemas.microsoft.com/office/drawing/2014/main" id="{02818BFA-B47D-40A9-AD47-F064175E2C1C}"/>
            </a:ext>
          </a:extLst>
        </xdr:cNvPr>
        <xdr:cNvCxnSpPr>
          <a:stCxn id="23" idx="3"/>
          <a:endCxn id="24" idx="1"/>
        </xdr:cNvCxnSpPr>
      </xdr:nvCxnSpPr>
      <xdr:spPr>
        <a:xfrm>
          <a:off x="8622463" y="1916047"/>
          <a:ext cx="251548" cy="0"/>
        </a:xfrm>
        <a:prstGeom prst="straightConnector1">
          <a:avLst/>
        </a:prstGeom>
        <a:ln>
          <a:solidFill>
            <a:schemeClr val="bg1">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558157</xdr:colOff>
      <xdr:row>9</xdr:row>
      <xdr:rowOff>144397</xdr:rowOff>
    </xdr:from>
    <xdr:to>
      <xdr:col>6</xdr:col>
      <xdr:colOff>809706</xdr:colOff>
      <xdr:row>9</xdr:row>
      <xdr:rowOff>144397</xdr:rowOff>
    </xdr:to>
    <xdr:cxnSp macro="">
      <xdr:nvCxnSpPr>
        <xdr:cNvPr id="70" name="Gerade Verbindung mit Pfeil 69">
          <a:extLst>
            <a:ext uri="{FF2B5EF4-FFF2-40B4-BE49-F238E27FC236}">
              <a16:creationId xmlns:a16="http://schemas.microsoft.com/office/drawing/2014/main" id="{642F897C-EF4B-494F-A0B6-57A4A81D1E75}"/>
            </a:ext>
          </a:extLst>
        </xdr:cNvPr>
        <xdr:cNvCxnSpPr>
          <a:stCxn id="23" idx="1"/>
          <a:endCxn id="22" idx="3"/>
        </xdr:cNvCxnSpPr>
      </xdr:nvCxnSpPr>
      <xdr:spPr>
        <a:xfrm flipH="1">
          <a:off x="7854307" y="1916047"/>
          <a:ext cx="251549" cy="0"/>
        </a:xfrm>
        <a:prstGeom prst="straightConnector1">
          <a:avLst/>
        </a:prstGeom>
        <a:ln>
          <a:solidFill>
            <a:schemeClr val="bg1">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247650</xdr:colOff>
      <xdr:row>19</xdr:row>
      <xdr:rowOff>80471</xdr:rowOff>
    </xdr:from>
    <xdr:to>
      <xdr:col>5</xdr:col>
      <xdr:colOff>282879</xdr:colOff>
      <xdr:row>20</xdr:row>
      <xdr:rowOff>134771</xdr:rowOff>
    </xdr:to>
    <xdr:sp macro="" textlink="">
      <xdr:nvSpPr>
        <xdr:cNvPr id="71" name="Rechteck 70">
          <a:extLst>
            <a:ext uri="{FF2B5EF4-FFF2-40B4-BE49-F238E27FC236}">
              <a16:creationId xmlns:a16="http://schemas.microsoft.com/office/drawing/2014/main" id="{C5B48349-8D3A-4FDC-B6D5-6E27BA48ABD6}"/>
            </a:ext>
          </a:extLst>
        </xdr:cNvPr>
        <xdr:cNvSpPr/>
      </xdr:nvSpPr>
      <xdr:spPr>
        <a:xfrm>
          <a:off x="5095875" y="3757121"/>
          <a:ext cx="1273479" cy="244800"/>
        </a:xfrm>
        <a:prstGeom prst="rect">
          <a:avLst/>
        </a:prstGeom>
        <a:solidFill>
          <a:srgbClr val="0A4669"/>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r>
            <a:rPr lang="de-AT" sz="1000" kern="1200">
              <a:solidFill>
                <a:schemeClr val="bg1"/>
              </a:solidFill>
              <a:latin typeface="PP Pangram Sans Semibold" panose="00000705000000000000" pitchFamily="2" charset="0"/>
              <a:ea typeface="+mn-ea"/>
              <a:cs typeface="+mn-cs"/>
            </a:rPr>
            <a:t>CRRC (€/MWh)</a:t>
          </a:r>
          <a:endParaRPr lang="de-AT" sz="1000">
            <a:solidFill>
              <a:schemeClr val="bg1"/>
            </a:solidFill>
            <a:latin typeface="PP Pangram Sans Semibold" panose="00000705000000000000" pitchFamily="2" charset="0"/>
          </a:endParaRPr>
        </a:p>
      </xdr:txBody>
    </xdr:sp>
    <xdr:clientData/>
  </xdr:twoCellAnchor>
  <xdr:twoCellAnchor>
    <xdr:from>
      <xdr:col>5</xdr:col>
      <xdr:colOff>339587</xdr:colOff>
      <xdr:row>19</xdr:row>
      <xdr:rowOff>80471</xdr:rowOff>
    </xdr:from>
    <xdr:to>
      <xdr:col>5</xdr:col>
      <xdr:colOff>892105</xdr:colOff>
      <xdr:row>20</xdr:row>
      <xdr:rowOff>134771</xdr:rowOff>
    </xdr:to>
    <xdr:sp macro="" textlink="$C$11">
      <xdr:nvSpPr>
        <xdr:cNvPr id="72" name="Rechteck 71">
          <a:extLst>
            <a:ext uri="{FF2B5EF4-FFF2-40B4-BE49-F238E27FC236}">
              <a16:creationId xmlns:a16="http://schemas.microsoft.com/office/drawing/2014/main" id="{3CEE930F-454C-4FA3-BFAB-D4EC0F484DE7}"/>
            </a:ext>
          </a:extLst>
        </xdr:cNvPr>
        <xdr:cNvSpPr/>
      </xdr:nvSpPr>
      <xdr:spPr>
        <a:xfrm>
          <a:off x="6426062" y="3757121"/>
          <a:ext cx="552518" cy="244800"/>
        </a:xfrm>
        <a:prstGeom prst="rect">
          <a:avLst/>
        </a:prstGeom>
        <a:solidFill>
          <a:srgbClr val="C3E49C"/>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algn="ctr"/>
          <a:fld id="{09E8FD6E-8AAA-4F41-AFEF-8BC48B75F67B}" type="TxLink">
            <a:rPr lang="en-US" sz="1100" b="0" i="0" u="none" strike="noStrike">
              <a:solidFill>
                <a:schemeClr val="bg1">
                  <a:lumMod val="50000"/>
                </a:schemeClr>
              </a:solidFill>
              <a:latin typeface="Calibri"/>
              <a:ea typeface="Calibri"/>
              <a:cs typeface="Calibri"/>
            </a:rPr>
            <a:pPr algn="ctr"/>
            <a:t> </a:t>
          </a:fld>
          <a:endParaRPr lang="de-AT" sz="1000">
            <a:solidFill>
              <a:schemeClr val="bg1">
                <a:lumMod val="50000"/>
              </a:schemeClr>
            </a:solidFill>
            <a:latin typeface="PP Pangram Sans Semibold" panose="00000705000000000000" pitchFamily="2" charset="0"/>
          </a:endParaRPr>
        </a:p>
      </xdr:txBody>
    </xdr:sp>
    <xdr:clientData/>
  </xdr:twoCellAnchor>
  <xdr:twoCellAnchor>
    <xdr:from>
      <xdr:col>6</xdr:col>
      <xdr:colOff>262842</xdr:colOff>
      <xdr:row>19</xdr:row>
      <xdr:rowOff>80471</xdr:rowOff>
    </xdr:from>
    <xdr:to>
      <xdr:col>7</xdr:col>
      <xdr:colOff>679360</xdr:colOff>
      <xdr:row>20</xdr:row>
      <xdr:rowOff>134771</xdr:rowOff>
    </xdr:to>
    <xdr:sp macro="" textlink="">
      <xdr:nvSpPr>
        <xdr:cNvPr id="73" name="Rechteck 72">
          <a:extLst>
            <a:ext uri="{FF2B5EF4-FFF2-40B4-BE49-F238E27FC236}">
              <a16:creationId xmlns:a16="http://schemas.microsoft.com/office/drawing/2014/main" id="{79D4AC30-802A-4F4A-9E1B-49AFCFB41315}"/>
            </a:ext>
          </a:extLst>
        </xdr:cNvPr>
        <xdr:cNvSpPr/>
      </xdr:nvSpPr>
      <xdr:spPr>
        <a:xfrm>
          <a:off x="7558992" y="3757121"/>
          <a:ext cx="1254718" cy="244800"/>
        </a:xfrm>
        <a:prstGeom prst="rect">
          <a:avLst/>
        </a:prstGeom>
        <a:solidFill>
          <a:srgbClr val="0A4669"/>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r>
            <a:rPr lang="de-AT" sz="1000">
              <a:solidFill>
                <a:schemeClr val="bg1"/>
              </a:solidFill>
              <a:latin typeface="PP Pangram Sans Semibold" panose="00000705000000000000" pitchFamily="2" charset="0"/>
            </a:rPr>
            <a:t>CRRC ITC (plan)</a:t>
          </a:r>
        </a:p>
      </xdr:txBody>
    </xdr:sp>
    <xdr:clientData/>
  </xdr:twoCellAnchor>
  <xdr:twoCellAnchor>
    <xdr:from>
      <xdr:col>7</xdr:col>
      <xdr:colOff>723111</xdr:colOff>
      <xdr:row>19</xdr:row>
      <xdr:rowOff>80471</xdr:rowOff>
    </xdr:from>
    <xdr:to>
      <xdr:col>8</xdr:col>
      <xdr:colOff>359996</xdr:colOff>
      <xdr:row>20</xdr:row>
      <xdr:rowOff>134771</xdr:rowOff>
    </xdr:to>
    <xdr:sp macro="" textlink="$AF$27">
      <xdr:nvSpPr>
        <xdr:cNvPr id="74" name="Rechteck 73">
          <a:extLst>
            <a:ext uri="{FF2B5EF4-FFF2-40B4-BE49-F238E27FC236}">
              <a16:creationId xmlns:a16="http://schemas.microsoft.com/office/drawing/2014/main" id="{E7BFDB88-E7B3-4A98-9AD6-9BFF4FF4942B}"/>
            </a:ext>
          </a:extLst>
        </xdr:cNvPr>
        <xdr:cNvSpPr/>
      </xdr:nvSpPr>
      <xdr:spPr>
        <a:xfrm>
          <a:off x="8857461" y="3757121"/>
          <a:ext cx="541760" cy="244800"/>
        </a:xfrm>
        <a:prstGeom prst="rect">
          <a:avLst/>
        </a:prstGeom>
        <a:solidFill>
          <a:srgbClr val="DCE6F2"/>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algn="ctr"/>
          <a:fld id="{750FF7AB-9DD8-49B5-9ED2-5BBCC886F6B4}" type="TxLink">
            <a:rPr lang="en-US" sz="1100" b="0" i="0" u="none" strike="noStrike">
              <a:solidFill>
                <a:schemeClr val="bg1">
                  <a:lumMod val="50000"/>
                </a:schemeClr>
              </a:solidFill>
              <a:latin typeface="Calibri"/>
              <a:ea typeface="Calibri"/>
              <a:cs typeface="Calibri"/>
            </a:rPr>
            <a:pPr algn="ctr"/>
            <a:t>n.a.</a:t>
          </a:fld>
          <a:endParaRPr lang="de-AT" sz="1000">
            <a:solidFill>
              <a:schemeClr val="bg1">
                <a:lumMod val="50000"/>
              </a:schemeClr>
            </a:solidFill>
            <a:latin typeface="PP Pangram Sans Semibold" panose="00000705000000000000" pitchFamily="2" charset="0"/>
          </a:endParaRPr>
        </a:p>
      </xdr:txBody>
    </xdr:sp>
    <xdr:clientData/>
  </xdr:twoCellAnchor>
  <xdr:twoCellAnchor>
    <xdr:from>
      <xdr:col>12</xdr:col>
      <xdr:colOff>95250</xdr:colOff>
      <xdr:row>27</xdr:row>
      <xdr:rowOff>180975</xdr:rowOff>
    </xdr:from>
    <xdr:to>
      <xdr:col>14</xdr:col>
      <xdr:colOff>361950</xdr:colOff>
      <xdr:row>32</xdr:row>
      <xdr:rowOff>28575</xdr:rowOff>
    </xdr:to>
    <xdr:sp macro="" textlink="">
      <xdr:nvSpPr>
        <xdr:cNvPr id="75" name="Textfeld 74">
          <a:extLst>
            <a:ext uri="{FF2B5EF4-FFF2-40B4-BE49-F238E27FC236}">
              <a16:creationId xmlns:a16="http://schemas.microsoft.com/office/drawing/2014/main" id="{92117B7F-3262-480B-B762-F64D7E3CEB8C}"/>
            </a:ext>
          </a:extLst>
        </xdr:cNvPr>
        <xdr:cNvSpPr txBox="1"/>
      </xdr:nvSpPr>
      <xdr:spPr>
        <a:xfrm>
          <a:off x="12496800" y="5381625"/>
          <a:ext cx="2000250" cy="8096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AT" sz="800" i="1"/>
            <a:t>ITC formulas represent </a:t>
          </a:r>
          <a:r>
            <a:rPr lang="de-AT" sz="800" i="1" baseline="0"/>
            <a:t>an exemplary approach and do not represent the actually applied mechanism, which is still to be decided upon by the TSOs at the time of creation of this model (5.12.2023)</a:t>
          </a:r>
          <a:endParaRPr lang="de-AT" sz="800" i="1"/>
        </a:p>
      </xdr:txBody>
    </xdr:sp>
    <xdr:clientData/>
  </xdr:twoCellAnchor>
  <xdr:twoCellAnchor>
    <xdr:from>
      <xdr:col>10</xdr:col>
      <xdr:colOff>95250</xdr:colOff>
      <xdr:row>42</xdr:row>
      <xdr:rowOff>0</xdr:rowOff>
    </xdr:from>
    <xdr:to>
      <xdr:col>12</xdr:col>
      <xdr:colOff>361950</xdr:colOff>
      <xdr:row>46</xdr:row>
      <xdr:rowOff>38100</xdr:rowOff>
    </xdr:to>
    <xdr:sp macro="" textlink="">
      <xdr:nvSpPr>
        <xdr:cNvPr id="76" name="Textfeld 75">
          <a:extLst>
            <a:ext uri="{FF2B5EF4-FFF2-40B4-BE49-F238E27FC236}">
              <a16:creationId xmlns:a16="http://schemas.microsoft.com/office/drawing/2014/main" id="{7643E55B-E216-4EA0-BF9A-9A0DD32C86B2}"/>
            </a:ext>
          </a:extLst>
        </xdr:cNvPr>
        <xdr:cNvSpPr txBox="1"/>
      </xdr:nvSpPr>
      <xdr:spPr>
        <a:xfrm>
          <a:off x="10763250" y="8067675"/>
          <a:ext cx="2000250" cy="8096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AT" sz="800" i="1"/>
            <a:t>ITC formulas represent </a:t>
          </a:r>
          <a:r>
            <a:rPr lang="de-AT" sz="800" i="1" baseline="0"/>
            <a:t>an exemplary approach and do not represent the actually applied mechanism, which is still to be decided upon by the TSOs at the time of creation of this model (5.12.2023)</a:t>
          </a:r>
          <a:endParaRPr lang="de-AT" sz="800" i="1"/>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243840</xdr:colOff>
      <xdr:row>11</xdr:row>
      <xdr:rowOff>60061</xdr:rowOff>
    </xdr:from>
    <xdr:to>
      <xdr:col>5</xdr:col>
      <xdr:colOff>893490</xdr:colOff>
      <xdr:row>12</xdr:row>
      <xdr:rowOff>114361</xdr:rowOff>
    </xdr:to>
    <xdr:sp macro="" textlink="">
      <xdr:nvSpPr>
        <xdr:cNvPr id="2" name="Rechteck 1">
          <a:extLst>
            <a:ext uri="{FF2B5EF4-FFF2-40B4-BE49-F238E27FC236}">
              <a16:creationId xmlns:a16="http://schemas.microsoft.com/office/drawing/2014/main" id="{829A6FB0-9179-40B2-8F22-664862692D3A}"/>
            </a:ext>
          </a:extLst>
        </xdr:cNvPr>
        <xdr:cNvSpPr/>
      </xdr:nvSpPr>
      <xdr:spPr>
        <a:xfrm>
          <a:off x="5092065" y="2212711"/>
          <a:ext cx="1887900" cy="244800"/>
        </a:xfrm>
        <a:prstGeom prst="rect">
          <a:avLst/>
        </a:prstGeom>
        <a:solidFill>
          <a:srgbClr val="0A4669"/>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r>
            <a:rPr lang="de-AT" sz="1000">
              <a:solidFill>
                <a:schemeClr val="bg1"/>
              </a:solidFill>
              <a:latin typeface="PP Pangram Sans Semibold" panose="00000705000000000000" pitchFamily="2" charset="0"/>
            </a:rPr>
            <a:t>Actual</a:t>
          </a:r>
          <a:r>
            <a:rPr lang="de-AT" sz="1000" baseline="0">
              <a:solidFill>
                <a:schemeClr val="bg1"/>
              </a:solidFill>
              <a:latin typeface="PP Pangram Sans Semibold" panose="00000705000000000000" pitchFamily="2" charset="0"/>
            </a:rPr>
            <a:t> capacity</a:t>
          </a:r>
          <a:r>
            <a:rPr lang="de-AT" sz="1000">
              <a:solidFill>
                <a:schemeClr val="bg1"/>
              </a:solidFill>
              <a:latin typeface="PP Pangram Sans Semibold" panose="00000705000000000000" pitchFamily="2" charset="0"/>
            </a:rPr>
            <a:t> revenues</a:t>
          </a:r>
        </a:p>
      </xdr:txBody>
    </xdr:sp>
    <xdr:clientData/>
  </xdr:twoCellAnchor>
  <xdr:twoCellAnchor>
    <xdr:from>
      <xdr:col>4</xdr:col>
      <xdr:colOff>243840</xdr:colOff>
      <xdr:row>7</xdr:row>
      <xdr:rowOff>111494</xdr:rowOff>
    </xdr:from>
    <xdr:to>
      <xdr:col>5</xdr:col>
      <xdr:colOff>893490</xdr:colOff>
      <xdr:row>8</xdr:row>
      <xdr:rowOff>165794</xdr:rowOff>
    </xdr:to>
    <xdr:sp macro="" textlink="">
      <xdr:nvSpPr>
        <xdr:cNvPr id="3" name="Rechteck 2">
          <a:extLst>
            <a:ext uri="{FF2B5EF4-FFF2-40B4-BE49-F238E27FC236}">
              <a16:creationId xmlns:a16="http://schemas.microsoft.com/office/drawing/2014/main" id="{6EDEF9FE-B485-46B9-9493-77644C070E99}"/>
            </a:ext>
          </a:extLst>
        </xdr:cNvPr>
        <xdr:cNvSpPr/>
      </xdr:nvSpPr>
      <xdr:spPr>
        <a:xfrm>
          <a:off x="5092065" y="1502144"/>
          <a:ext cx="1887900" cy="244800"/>
        </a:xfrm>
        <a:prstGeom prst="rect">
          <a:avLst/>
        </a:prstGeom>
        <a:solidFill>
          <a:srgbClr val="0A4669"/>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r>
            <a:rPr lang="de-AT" sz="1000">
              <a:solidFill>
                <a:schemeClr val="bg1"/>
              </a:solidFill>
              <a:latin typeface="PP Pangram Sans Semibold" panose="00000705000000000000" pitchFamily="2" charset="0"/>
            </a:rPr>
            <a:t>Capacity cost base</a:t>
          </a:r>
        </a:p>
      </xdr:txBody>
    </xdr:sp>
    <xdr:clientData/>
  </xdr:twoCellAnchor>
  <xdr:twoCellAnchor>
    <xdr:from>
      <xdr:col>6</xdr:col>
      <xdr:colOff>19066</xdr:colOff>
      <xdr:row>11</xdr:row>
      <xdr:rowOff>60061</xdr:rowOff>
    </xdr:from>
    <xdr:to>
      <xdr:col>6</xdr:col>
      <xdr:colOff>556252</xdr:colOff>
      <xdr:row>12</xdr:row>
      <xdr:rowOff>114361</xdr:rowOff>
    </xdr:to>
    <xdr:sp macro="" textlink="AF24">
      <xdr:nvSpPr>
        <xdr:cNvPr id="4" name="Rechteck 3">
          <a:extLst>
            <a:ext uri="{FF2B5EF4-FFF2-40B4-BE49-F238E27FC236}">
              <a16:creationId xmlns:a16="http://schemas.microsoft.com/office/drawing/2014/main" id="{7BA8FDE2-F0F3-4F94-99B0-85C933A12EF3}"/>
            </a:ext>
          </a:extLst>
        </xdr:cNvPr>
        <xdr:cNvSpPr/>
      </xdr:nvSpPr>
      <xdr:spPr>
        <a:xfrm>
          <a:off x="7315216" y="2212711"/>
          <a:ext cx="537186" cy="244800"/>
        </a:xfrm>
        <a:prstGeom prst="rect">
          <a:avLst/>
        </a:prstGeom>
        <a:solidFill>
          <a:schemeClr val="bg1">
            <a:lumMod val="85000"/>
          </a:schemeClr>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algn="ctr"/>
          <a:fld id="{AC61D659-3582-4268-BC9D-05ED53DF8CAE}" type="TxLink">
            <a:rPr lang="en-US" sz="1100" b="0" i="0" u="none" strike="noStrike">
              <a:solidFill>
                <a:schemeClr val="bg1">
                  <a:lumMod val="50000"/>
                </a:schemeClr>
              </a:solidFill>
              <a:latin typeface="Calibri"/>
              <a:ea typeface="Calibri"/>
              <a:cs typeface="Calibri"/>
            </a:rPr>
            <a:pPr algn="ctr"/>
            <a:t>158,3</a:t>
          </a:fld>
          <a:endParaRPr lang="de-AT" sz="1000" b="0">
            <a:solidFill>
              <a:schemeClr val="bg1">
                <a:lumMod val="50000"/>
              </a:schemeClr>
            </a:solidFill>
            <a:latin typeface="PP Pangram Sans Semibold" panose="00000705000000000000" pitchFamily="2" charset="0"/>
          </a:endParaRPr>
        </a:p>
      </xdr:txBody>
    </xdr:sp>
    <xdr:clientData/>
  </xdr:twoCellAnchor>
  <xdr:twoCellAnchor>
    <xdr:from>
      <xdr:col>6</xdr:col>
      <xdr:colOff>19066</xdr:colOff>
      <xdr:row>7</xdr:row>
      <xdr:rowOff>111494</xdr:rowOff>
    </xdr:from>
    <xdr:to>
      <xdr:col>6</xdr:col>
      <xdr:colOff>556252</xdr:colOff>
      <xdr:row>8</xdr:row>
      <xdr:rowOff>165794</xdr:rowOff>
    </xdr:to>
    <xdr:sp macro="" textlink="$AF$14">
      <xdr:nvSpPr>
        <xdr:cNvPr id="5" name="Rechteck 4">
          <a:extLst>
            <a:ext uri="{FF2B5EF4-FFF2-40B4-BE49-F238E27FC236}">
              <a16:creationId xmlns:a16="http://schemas.microsoft.com/office/drawing/2014/main" id="{250C00F7-4A21-4205-B8DB-5F2AD59580CE}"/>
            </a:ext>
          </a:extLst>
        </xdr:cNvPr>
        <xdr:cNvSpPr/>
      </xdr:nvSpPr>
      <xdr:spPr>
        <a:xfrm>
          <a:off x="7315216" y="1502144"/>
          <a:ext cx="537186" cy="244800"/>
        </a:xfrm>
        <a:prstGeom prst="rect">
          <a:avLst/>
        </a:prstGeom>
        <a:solidFill>
          <a:schemeClr val="bg1">
            <a:lumMod val="85000"/>
          </a:schemeClr>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p>
          <a:pPr algn="ctr"/>
          <a:fld id="{AF6D3570-9081-4E49-AF61-0EB7F89E791E}" type="TxLink">
            <a:rPr lang="en-US" sz="1100" b="0" i="0" u="none" strike="noStrike">
              <a:solidFill>
                <a:schemeClr val="bg1">
                  <a:lumMod val="50000"/>
                </a:schemeClr>
              </a:solidFill>
              <a:latin typeface="Calibri"/>
              <a:ea typeface="Calibri"/>
              <a:cs typeface="Calibri"/>
            </a:rPr>
            <a:pPr algn="ctr"/>
            <a:t>104,2</a:t>
          </a:fld>
          <a:endParaRPr lang="en-US" b="0">
            <a:solidFill>
              <a:schemeClr val="bg1">
                <a:lumMod val="50000"/>
              </a:schemeClr>
            </a:solidFill>
          </a:endParaRPr>
        </a:p>
      </xdr:txBody>
    </xdr:sp>
    <xdr:clientData/>
  </xdr:twoCellAnchor>
  <xdr:twoCellAnchor>
    <xdr:from>
      <xdr:col>4</xdr:col>
      <xdr:colOff>245744</xdr:colOff>
      <xdr:row>13</xdr:row>
      <xdr:rowOff>174905</xdr:rowOff>
    </xdr:from>
    <xdr:to>
      <xdr:col>5</xdr:col>
      <xdr:colOff>895394</xdr:colOff>
      <xdr:row>15</xdr:row>
      <xdr:rowOff>38705</xdr:rowOff>
    </xdr:to>
    <xdr:sp macro="" textlink="">
      <xdr:nvSpPr>
        <xdr:cNvPr id="6" name="Rechteck 5">
          <a:extLst>
            <a:ext uri="{FF2B5EF4-FFF2-40B4-BE49-F238E27FC236}">
              <a16:creationId xmlns:a16="http://schemas.microsoft.com/office/drawing/2014/main" id="{A7622CE3-1DE7-45F0-8106-3D50D1D6364D}"/>
            </a:ext>
          </a:extLst>
        </xdr:cNvPr>
        <xdr:cNvSpPr/>
      </xdr:nvSpPr>
      <xdr:spPr>
        <a:xfrm>
          <a:off x="5093969" y="2708555"/>
          <a:ext cx="1887900" cy="244800"/>
        </a:xfrm>
        <a:prstGeom prst="rect">
          <a:avLst/>
        </a:prstGeom>
        <a:solidFill>
          <a:srgbClr val="0A4669"/>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r>
            <a:rPr lang="de-AT" sz="1000">
              <a:solidFill>
                <a:schemeClr val="bg1"/>
              </a:solidFill>
              <a:latin typeface="PP Pangram Sans Semibold" panose="00000705000000000000" pitchFamily="2" charset="0"/>
            </a:rPr>
            <a:t>Effective capacity</a:t>
          </a:r>
          <a:r>
            <a:rPr lang="de-AT" sz="1000" baseline="0">
              <a:solidFill>
                <a:schemeClr val="bg1"/>
              </a:solidFill>
              <a:latin typeface="PP Pangram Sans Semibold" panose="00000705000000000000" pitchFamily="2" charset="0"/>
            </a:rPr>
            <a:t> </a:t>
          </a:r>
          <a:r>
            <a:rPr lang="de-AT" sz="1000">
              <a:solidFill>
                <a:schemeClr val="bg1"/>
              </a:solidFill>
              <a:latin typeface="PP Pangram Sans Semibold" panose="00000705000000000000" pitchFamily="2" charset="0"/>
            </a:rPr>
            <a:t>revenues</a:t>
          </a:r>
        </a:p>
      </xdr:txBody>
    </xdr:sp>
    <xdr:clientData/>
  </xdr:twoCellAnchor>
  <xdr:twoCellAnchor>
    <xdr:from>
      <xdr:col>6</xdr:col>
      <xdr:colOff>19066</xdr:colOff>
      <xdr:row>13</xdr:row>
      <xdr:rowOff>174905</xdr:rowOff>
    </xdr:from>
    <xdr:to>
      <xdr:col>6</xdr:col>
      <xdr:colOff>556252</xdr:colOff>
      <xdr:row>15</xdr:row>
      <xdr:rowOff>38705</xdr:rowOff>
    </xdr:to>
    <xdr:sp macro="" textlink="AF25">
      <xdr:nvSpPr>
        <xdr:cNvPr id="7" name="Rechteck 6">
          <a:extLst>
            <a:ext uri="{FF2B5EF4-FFF2-40B4-BE49-F238E27FC236}">
              <a16:creationId xmlns:a16="http://schemas.microsoft.com/office/drawing/2014/main" id="{D90E4D3D-FDF3-4A59-888C-E59E4EEB50F6}"/>
            </a:ext>
          </a:extLst>
        </xdr:cNvPr>
        <xdr:cNvSpPr/>
      </xdr:nvSpPr>
      <xdr:spPr>
        <a:xfrm>
          <a:off x="7315216" y="2708555"/>
          <a:ext cx="537186" cy="244800"/>
        </a:xfrm>
        <a:prstGeom prst="rect">
          <a:avLst/>
        </a:prstGeom>
        <a:solidFill>
          <a:srgbClr val="FE6D73"/>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algn="ctr"/>
          <a:fld id="{64CA9966-8109-4204-AE13-9E0B2129AAA0}" type="TxLink">
            <a:rPr lang="en-US" sz="1100" b="1" i="0" u="none" strike="noStrike">
              <a:solidFill>
                <a:schemeClr val="bg1"/>
              </a:solidFill>
              <a:latin typeface="Calibri"/>
              <a:ea typeface="Calibri"/>
              <a:cs typeface="Calibri"/>
            </a:rPr>
            <a:pPr algn="ctr"/>
            <a:t>104,2</a:t>
          </a:fld>
          <a:endParaRPr lang="de-AT" sz="1000" b="1">
            <a:solidFill>
              <a:schemeClr val="bg1"/>
            </a:solidFill>
            <a:latin typeface="PP Pangram Sans Semibold" panose="00000705000000000000" pitchFamily="2" charset="0"/>
          </a:endParaRPr>
        </a:p>
      </xdr:txBody>
    </xdr:sp>
    <xdr:clientData/>
  </xdr:twoCellAnchor>
  <xdr:twoCellAnchor>
    <xdr:from>
      <xdr:col>6</xdr:col>
      <xdr:colOff>22876</xdr:colOff>
      <xdr:row>6</xdr:row>
      <xdr:rowOff>17591</xdr:rowOff>
    </xdr:from>
    <xdr:to>
      <xdr:col>6</xdr:col>
      <xdr:colOff>558157</xdr:colOff>
      <xdr:row>7</xdr:row>
      <xdr:rowOff>71891</xdr:rowOff>
    </xdr:to>
    <xdr:sp macro="" textlink="">
      <xdr:nvSpPr>
        <xdr:cNvPr id="8" name="Rechteck 7">
          <a:extLst>
            <a:ext uri="{FF2B5EF4-FFF2-40B4-BE49-F238E27FC236}">
              <a16:creationId xmlns:a16="http://schemas.microsoft.com/office/drawing/2014/main" id="{F73AEF77-8FB8-4C05-88AF-BC6B3153BE2F}"/>
            </a:ext>
          </a:extLst>
        </xdr:cNvPr>
        <xdr:cNvSpPr/>
      </xdr:nvSpPr>
      <xdr:spPr>
        <a:xfrm>
          <a:off x="7319026" y="1217741"/>
          <a:ext cx="535281" cy="244800"/>
        </a:xfrm>
        <a:prstGeom prst="rect">
          <a:avLst/>
        </a:prstGeom>
        <a:solidFill>
          <a:srgbClr val="0A4669"/>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algn="ctr"/>
          <a:r>
            <a:rPr lang="de-AT" sz="1000">
              <a:solidFill>
                <a:schemeClr val="bg1"/>
              </a:solidFill>
              <a:latin typeface="PP Pangram Sans Semibold" panose="00000705000000000000" pitchFamily="2" charset="0"/>
            </a:rPr>
            <a:t>GCA</a:t>
          </a:r>
        </a:p>
      </xdr:txBody>
    </xdr:sp>
    <xdr:clientData/>
  </xdr:twoCellAnchor>
  <xdr:twoCellAnchor>
    <xdr:from>
      <xdr:col>6</xdr:col>
      <xdr:colOff>807801</xdr:colOff>
      <xdr:row>13</xdr:row>
      <xdr:rowOff>174905</xdr:rowOff>
    </xdr:from>
    <xdr:to>
      <xdr:col>7</xdr:col>
      <xdr:colOff>488113</xdr:colOff>
      <xdr:row>15</xdr:row>
      <xdr:rowOff>38705</xdr:rowOff>
    </xdr:to>
    <xdr:sp macro="" textlink="AF18">
      <xdr:nvSpPr>
        <xdr:cNvPr id="9" name="Rechteck 8">
          <a:extLst>
            <a:ext uri="{FF2B5EF4-FFF2-40B4-BE49-F238E27FC236}">
              <a16:creationId xmlns:a16="http://schemas.microsoft.com/office/drawing/2014/main" id="{D0844E4B-8B38-431C-B70A-13384066FA9F}"/>
            </a:ext>
          </a:extLst>
        </xdr:cNvPr>
        <xdr:cNvSpPr/>
      </xdr:nvSpPr>
      <xdr:spPr>
        <a:xfrm>
          <a:off x="8103951" y="2708555"/>
          <a:ext cx="518512" cy="244800"/>
        </a:xfrm>
        <a:prstGeom prst="rect">
          <a:avLst/>
        </a:prstGeom>
        <a:solidFill>
          <a:schemeClr val="accent1"/>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algn="ctr"/>
          <a:fld id="{E02D8A81-E7D6-4296-8D42-FC6AB6A4FD7B}" type="TxLink">
            <a:rPr lang="en-US" sz="1100" b="1" i="0" u="none" strike="noStrike">
              <a:solidFill>
                <a:schemeClr val="bg1"/>
              </a:solidFill>
              <a:latin typeface="Calibri"/>
              <a:ea typeface="Calibri"/>
              <a:cs typeface="Calibri"/>
            </a:rPr>
            <a:pPr algn="ctr"/>
            <a:t>54,1</a:t>
          </a:fld>
          <a:endParaRPr lang="de-AT" sz="1000" b="1">
            <a:solidFill>
              <a:schemeClr val="bg1"/>
            </a:solidFill>
            <a:latin typeface="PP Pangram Sans Semibold" panose="00000705000000000000" pitchFamily="2" charset="0"/>
          </a:endParaRPr>
        </a:p>
      </xdr:txBody>
    </xdr:sp>
    <xdr:clientData/>
  </xdr:twoCellAnchor>
  <xdr:twoCellAnchor>
    <xdr:from>
      <xdr:col>6</xdr:col>
      <xdr:colOff>805896</xdr:colOff>
      <xdr:row>6</xdr:row>
      <xdr:rowOff>17591</xdr:rowOff>
    </xdr:from>
    <xdr:to>
      <xdr:col>7</xdr:col>
      <xdr:colOff>491923</xdr:colOff>
      <xdr:row>7</xdr:row>
      <xdr:rowOff>71891</xdr:rowOff>
    </xdr:to>
    <xdr:sp macro="" textlink="">
      <xdr:nvSpPr>
        <xdr:cNvPr id="10" name="Rechteck 9">
          <a:extLst>
            <a:ext uri="{FF2B5EF4-FFF2-40B4-BE49-F238E27FC236}">
              <a16:creationId xmlns:a16="http://schemas.microsoft.com/office/drawing/2014/main" id="{4B472775-67E2-45EE-AA66-D10923DFBF94}"/>
            </a:ext>
          </a:extLst>
        </xdr:cNvPr>
        <xdr:cNvSpPr/>
      </xdr:nvSpPr>
      <xdr:spPr>
        <a:xfrm>
          <a:off x="8102046" y="1217741"/>
          <a:ext cx="524227" cy="244800"/>
        </a:xfrm>
        <a:prstGeom prst="rect">
          <a:avLst/>
        </a:prstGeom>
        <a:solidFill>
          <a:srgbClr val="95B3D7"/>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algn="ctr"/>
          <a:r>
            <a:rPr lang="de-AT" sz="1000">
              <a:solidFill>
                <a:schemeClr val="bg1"/>
              </a:solidFill>
              <a:latin typeface="PP Pangram Sans Semibold" panose="00000705000000000000" pitchFamily="2" charset="0"/>
            </a:rPr>
            <a:t>ITC</a:t>
          </a:r>
        </a:p>
      </xdr:txBody>
    </xdr:sp>
    <xdr:clientData/>
  </xdr:twoCellAnchor>
  <xdr:twoCellAnchor>
    <xdr:from>
      <xdr:col>4</xdr:col>
      <xdr:colOff>238125</xdr:colOff>
      <xdr:row>6</xdr:row>
      <xdr:rowOff>25211</xdr:rowOff>
    </xdr:from>
    <xdr:to>
      <xdr:col>5</xdr:col>
      <xdr:colOff>802534</xdr:colOff>
      <xdr:row>7</xdr:row>
      <xdr:rowOff>79511</xdr:rowOff>
    </xdr:to>
    <xdr:sp macro="" textlink="">
      <xdr:nvSpPr>
        <xdr:cNvPr id="11" name="Rechteck 10">
          <a:extLst>
            <a:ext uri="{FF2B5EF4-FFF2-40B4-BE49-F238E27FC236}">
              <a16:creationId xmlns:a16="http://schemas.microsoft.com/office/drawing/2014/main" id="{0250E69D-4FE3-416C-BD18-7BF3CF3465CF}"/>
            </a:ext>
          </a:extLst>
        </xdr:cNvPr>
        <xdr:cNvSpPr/>
      </xdr:nvSpPr>
      <xdr:spPr>
        <a:xfrm>
          <a:off x="5086350" y="1225361"/>
          <a:ext cx="1802659" cy="244800"/>
        </a:xfrm>
        <a:prstGeom prst="rect">
          <a:avLst/>
        </a:prstGeom>
        <a:no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algn="r"/>
          <a:r>
            <a:rPr lang="de-AT" sz="1000" i="1">
              <a:solidFill>
                <a:schemeClr val="bg1">
                  <a:lumMod val="50000"/>
                </a:schemeClr>
              </a:solidFill>
              <a:latin typeface="PP Pangram Sans Medium" panose="00000605000000000000" pitchFamily="2" charset="0"/>
            </a:rPr>
            <a:t>[mio. EUR]</a:t>
          </a:r>
        </a:p>
      </xdr:txBody>
    </xdr:sp>
    <xdr:clientData/>
  </xdr:twoCellAnchor>
  <xdr:twoCellAnchor>
    <xdr:from>
      <xdr:col>7</xdr:col>
      <xdr:colOff>743471</xdr:colOff>
      <xdr:row>11</xdr:row>
      <xdr:rowOff>60061</xdr:rowOff>
    </xdr:from>
    <xdr:to>
      <xdr:col>8</xdr:col>
      <xdr:colOff>363806</xdr:colOff>
      <xdr:row>12</xdr:row>
      <xdr:rowOff>114361</xdr:rowOff>
    </xdr:to>
    <xdr:sp macro="" textlink="AH15">
      <xdr:nvSpPr>
        <xdr:cNvPr id="12" name="Rechteck 11">
          <a:extLst>
            <a:ext uri="{FF2B5EF4-FFF2-40B4-BE49-F238E27FC236}">
              <a16:creationId xmlns:a16="http://schemas.microsoft.com/office/drawing/2014/main" id="{20F10116-8F79-4D19-9D9E-E00E68C2B305}"/>
            </a:ext>
          </a:extLst>
        </xdr:cNvPr>
        <xdr:cNvSpPr/>
      </xdr:nvSpPr>
      <xdr:spPr>
        <a:xfrm>
          <a:off x="8877821" y="2212711"/>
          <a:ext cx="525210" cy="244800"/>
        </a:xfrm>
        <a:prstGeom prst="rect">
          <a:avLst/>
        </a:prstGeom>
        <a:solidFill>
          <a:schemeClr val="bg1">
            <a:lumMod val="85000"/>
          </a:schemeClr>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algn="ctr"/>
          <a:fld id="{1E91ED3C-C025-4220-ADD7-584D37840D5C}" type="TxLink">
            <a:rPr lang="en-US" sz="1100" b="0" i="0" u="none" strike="noStrike">
              <a:solidFill>
                <a:schemeClr val="bg1">
                  <a:lumMod val="50000"/>
                </a:schemeClr>
              </a:solidFill>
              <a:latin typeface="Calibri"/>
              <a:ea typeface="Calibri"/>
              <a:cs typeface="Calibri"/>
            </a:rPr>
            <a:pPr algn="ctr"/>
            <a:t>122,8</a:t>
          </a:fld>
          <a:endParaRPr lang="de-AT" sz="1000" b="0">
            <a:solidFill>
              <a:schemeClr val="bg1">
                <a:lumMod val="50000"/>
              </a:schemeClr>
            </a:solidFill>
            <a:latin typeface="PP Pangram Sans Semibold" panose="00000705000000000000" pitchFamily="2" charset="0"/>
          </a:endParaRPr>
        </a:p>
      </xdr:txBody>
    </xdr:sp>
    <xdr:clientData/>
  </xdr:twoCellAnchor>
  <xdr:twoCellAnchor>
    <xdr:from>
      <xdr:col>7</xdr:col>
      <xdr:colOff>743471</xdr:colOff>
      <xdr:row>7</xdr:row>
      <xdr:rowOff>111494</xdr:rowOff>
    </xdr:from>
    <xdr:to>
      <xdr:col>8</xdr:col>
      <xdr:colOff>363806</xdr:colOff>
      <xdr:row>8</xdr:row>
      <xdr:rowOff>165794</xdr:rowOff>
    </xdr:to>
    <xdr:sp macro="" textlink="$AF$15">
      <xdr:nvSpPr>
        <xdr:cNvPr id="13" name="Rechteck 12">
          <a:extLst>
            <a:ext uri="{FF2B5EF4-FFF2-40B4-BE49-F238E27FC236}">
              <a16:creationId xmlns:a16="http://schemas.microsoft.com/office/drawing/2014/main" id="{2360BE97-2FDC-4CB3-9FE1-B0B69D18CC40}"/>
            </a:ext>
          </a:extLst>
        </xdr:cNvPr>
        <xdr:cNvSpPr/>
      </xdr:nvSpPr>
      <xdr:spPr>
        <a:xfrm>
          <a:off x="8877821" y="1502144"/>
          <a:ext cx="525210" cy="244800"/>
        </a:xfrm>
        <a:prstGeom prst="rect">
          <a:avLst/>
        </a:prstGeom>
        <a:solidFill>
          <a:schemeClr val="bg1">
            <a:lumMod val="85000"/>
          </a:schemeClr>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algn="ctr"/>
          <a:fld id="{B6FBF376-C168-4437-BE87-29A880111C43}" type="TxLink">
            <a:rPr lang="en-US" sz="1100" b="0" i="0" u="none" strike="noStrike">
              <a:solidFill>
                <a:schemeClr val="bg1">
                  <a:lumMod val="50000"/>
                </a:schemeClr>
              </a:solidFill>
              <a:latin typeface="Calibri"/>
              <a:ea typeface="Calibri"/>
              <a:cs typeface="Calibri"/>
            </a:rPr>
            <a:pPr algn="ctr"/>
            <a:t>177,0</a:t>
          </a:fld>
          <a:endParaRPr lang="de-AT" sz="1000" b="0">
            <a:solidFill>
              <a:schemeClr val="bg1">
                <a:lumMod val="50000"/>
              </a:schemeClr>
            </a:solidFill>
            <a:latin typeface="PP Pangram Sans Semibold" panose="00000705000000000000" pitchFamily="2" charset="0"/>
          </a:endParaRPr>
        </a:p>
      </xdr:txBody>
    </xdr:sp>
    <xdr:clientData/>
  </xdr:twoCellAnchor>
  <xdr:twoCellAnchor>
    <xdr:from>
      <xdr:col>7</xdr:col>
      <xdr:colOff>739661</xdr:colOff>
      <xdr:row>13</xdr:row>
      <xdr:rowOff>174905</xdr:rowOff>
    </xdr:from>
    <xdr:to>
      <xdr:col>8</xdr:col>
      <xdr:colOff>359996</xdr:colOff>
      <xdr:row>15</xdr:row>
      <xdr:rowOff>38705</xdr:rowOff>
    </xdr:to>
    <xdr:sp macro="" textlink="AH16">
      <xdr:nvSpPr>
        <xdr:cNvPr id="14" name="Rechteck 13">
          <a:extLst>
            <a:ext uri="{FF2B5EF4-FFF2-40B4-BE49-F238E27FC236}">
              <a16:creationId xmlns:a16="http://schemas.microsoft.com/office/drawing/2014/main" id="{B6E3D416-8B22-4505-BC75-171964D2DFDA}"/>
            </a:ext>
          </a:extLst>
        </xdr:cNvPr>
        <xdr:cNvSpPr/>
      </xdr:nvSpPr>
      <xdr:spPr>
        <a:xfrm>
          <a:off x="8874011" y="2708555"/>
          <a:ext cx="525210" cy="244800"/>
        </a:xfrm>
        <a:prstGeom prst="rect">
          <a:avLst/>
        </a:prstGeom>
        <a:solidFill>
          <a:srgbClr val="FE6D73"/>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algn="ctr"/>
          <a:fld id="{A7C29A21-8590-42F0-843D-8FDE26AA5FB4}" type="TxLink">
            <a:rPr lang="en-US" sz="1100" b="1" i="0" u="none" strike="noStrike">
              <a:solidFill>
                <a:schemeClr val="bg1"/>
              </a:solidFill>
              <a:latin typeface="Calibri"/>
              <a:ea typeface="Calibri"/>
              <a:cs typeface="Calibri"/>
            </a:rPr>
            <a:pPr algn="ctr"/>
            <a:t>177,0</a:t>
          </a:fld>
          <a:endParaRPr lang="de-AT" sz="1000" b="1">
            <a:solidFill>
              <a:schemeClr val="bg1"/>
            </a:solidFill>
            <a:latin typeface="PP Pangram Sans Semibold" panose="00000705000000000000" pitchFamily="2" charset="0"/>
          </a:endParaRPr>
        </a:p>
      </xdr:txBody>
    </xdr:sp>
    <xdr:clientData/>
  </xdr:twoCellAnchor>
  <xdr:twoCellAnchor>
    <xdr:from>
      <xdr:col>7</xdr:col>
      <xdr:colOff>739661</xdr:colOff>
      <xdr:row>6</xdr:row>
      <xdr:rowOff>17591</xdr:rowOff>
    </xdr:from>
    <xdr:to>
      <xdr:col>8</xdr:col>
      <xdr:colOff>359996</xdr:colOff>
      <xdr:row>7</xdr:row>
      <xdr:rowOff>71891</xdr:rowOff>
    </xdr:to>
    <xdr:sp macro="" textlink="">
      <xdr:nvSpPr>
        <xdr:cNvPr id="15" name="Rechteck 14">
          <a:extLst>
            <a:ext uri="{FF2B5EF4-FFF2-40B4-BE49-F238E27FC236}">
              <a16:creationId xmlns:a16="http://schemas.microsoft.com/office/drawing/2014/main" id="{9CF5398E-C293-465C-B29D-C5977CB8866C}"/>
            </a:ext>
          </a:extLst>
        </xdr:cNvPr>
        <xdr:cNvSpPr/>
      </xdr:nvSpPr>
      <xdr:spPr>
        <a:xfrm>
          <a:off x="8874011" y="1217741"/>
          <a:ext cx="525210" cy="244800"/>
        </a:xfrm>
        <a:prstGeom prst="rect">
          <a:avLst/>
        </a:prstGeom>
        <a:solidFill>
          <a:srgbClr val="0A4669"/>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algn="ctr"/>
          <a:r>
            <a:rPr lang="de-AT" sz="1000">
              <a:solidFill>
                <a:schemeClr val="bg1"/>
              </a:solidFill>
              <a:latin typeface="PP Pangram Sans Semibold" panose="00000705000000000000" pitchFamily="2" charset="0"/>
            </a:rPr>
            <a:t>TAG</a:t>
          </a:r>
        </a:p>
      </xdr:txBody>
    </xdr:sp>
    <xdr:clientData/>
  </xdr:twoCellAnchor>
  <xdr:twoCellAnchor>
    <xdr:from>
      <xdr:col>4</xdr:col>
      <xdr:colOff>247650</xdr:colOff>
      <xdr:row>17</xdr:row>
      <xdr:rowOff>96159</xdr:rowOff>
    </xdr:from>
    <xdr:to>
      <xdr:col>5</xdr:col>
      <xdr:colOff>282879</xdr:colOff>
      <xdr:row>18</xdr:row>
      <xdr:rowOff>150459</xdr:rowOff>
    </xdr:to>
    <xdr:sp macro="" textlink="">
      <xdr:nvSpPr>
        <xdr:cNvPr id="16" name="Rechteck 15">
          <a:extLst>
            <a:ext uri="{FF2B5EF4-FFF2-40B4-BE49-F238E27FC236}">
              <a16:creationId xmlns:a16="http://schemas.microsoft.com/office/drawing/2014/main" id="{BD32E258-E193-4BB0-A776-C3CF90B94CF7}"/>
            </a:ext>
          </a:extLst>
        </xdr:cNvPr>
        <xdr:cNvSpPr/>
      </xdr:nvSpPr>
      <xdr:spPr>
        <a:xfrm>
          <a:off x="5095875" y="3391809"/>
          <a:ext cx="1273479" cy="244800"/>
        </a:xfrm>
        <a:prstGeom prst="rect">
          <a:avLst/>
        </a:prstGeom>
        <a:solidFill>
          <a:srgbClr val="0A4669"/>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r>
            <a:rPr lang="de-AT" sz="1000" kern="1200">
              <a:solidFill>
                <a:schemeClr val="bg1"/>
              </a:solidFill>
              <a:latin typeface="PP Pangram Sans Semibold" panose="00000705000000000000" pitchFamily="2" charset="0"/>
              <a:ea typeface="+mn-ea"/>
              <a:cs typeface="+mn-cs"/>
            </a:rPr>
            <a:t>Cap</a:t>
          </a:r>
          <a:r>
            <a:rPr lang="de-AT" sz="1000">
              <a:solidFill>
                <a:schemeClr val="bg1"/>
              </a:solidFill>
              <a:latin typeface="PP Pangram Sans Semibold" panose="00000705000000000000" pitchFamily="2" charset="0"/>
            </a:rPr>
            <a:t>. E/X split</a:t>
          </a:r>
        </a:p>
      </xdr:txBody>
    </xdr:sp>
    <xdr:clientData/>
  </xdr:twoCellAnchor>
  <xdr:twoCellAnchor>
    <xdr:from>
      <xdr:col>5</xdr:col>
      <xdr:colOff>339587</xdr:colOff>
      <xdr:row>17</xdr:row>
      <xdr:rowOff>96159</xdr:rowOff>
    </xdr:from>
    <xdr:to>
      <xdr:col>5</xdr:col>
      <xdr:colOff>892105</xdr:colOff>
      <xdr:row>18</xdr:row>
      <xdr:rowOff>150459</xdr:rowOff>
    </xdr:to>
    <xdr:sp macro="" textlink="$C$21">
      <xdr:nvSpPr>
        <xdr:cNvPr id="17" name="Rechteck 16">
          <a:extLst>
            <a:ext uri="{FF2B5EF4-FFF2-40B4-BE49-F238E27FC236}">
              <a16:creationId xmlns:a16="http://schemas.microsoft.com/office/drawing/2014/main" id="{FAC28E78-1CC4-49D3-9E0A-A8DE4F2C28E1}"/>
            </a:ext>
          </a:extLst>
        </xdr:cNvPr>
        <xdr:cNvSpPr/>
      </xdr:nvSpPr>
      <xdr:spPr>
        <a:xfrm>
          <a:off x="6426062" y="3391809"/>
          <a:ext cx="552518" cy="244800"/>
        </a:xfrm>
        <a:prstGeom prst="rect">
          <a:avLst/>
        </a:prstGeom>
        <a:solidFill>
          <a:srgbClr val="0A4669"/>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algn="ctr"/>
          <a:fld id="{FF119343-CAB5-45BA-AFDE-91D7820D106C}" type="TxLink">
            <a:rPr lang="en-US" sz="1100" b="1" i="0" u="none" strike="noStrike">
              <a:solidFill>
                <a:schemeClr val="bg1"/>
              </a:solidFill>
              <a:latin typeface="Calibri"/>
              <a:ea typeface="Calibri"/>
              <a:cs typeface="Calibri"/>
            </a:rPr>
            <a:pPr algn="ctr"/>
            <a:t>26,4%</a:t>
          </a:fld>
          <a:endParaRPr lang="de-AT" sz="1000">
            <a:solidFill>
              <a:schemeClr val="bg1"/>
            </a:solidFill>
            <a:latin typeface="PP Pangram Sans Semibold" panose="00000705000000000000" pitchFamily="2" charset="0"/>
          </a:endParaRPr>
        </a:p>
      </xdr:txBody>
    </xdr:sp>
    <xdr:clientData/>
  </xdr:twoCellAnchor>
  <xdr:twoCellAnchor>
    <xdr:from>
      <xdr:col>6</xdr:col>
      <xdr:colOff>262842</xdr:colOff>
      <xdr:row>17</xdr:row>
      <xdr:rowOff>96159</xdr:rowOff>
    </xdr:from>
    <xdr:to>
      <xdr:col>7</xdr:col>
      <xdr:colOff>679360</xdr:colOff>
      <xdr:row>18</xdr:row>
      <xdr:rowOff>150459</xdr:rowOff>
    </xdr:to>
    <xdr:sp macro="" textlink="">
      <xdr:nvSpPr>
        <xdr:cNvPr id="18" name="Rechteck 17">
          <a:extLst>
            <a:ext uri="{FF2B5EF4-FFF2-40B4-BE49-F238E27FC236}">
              <a16:creationId xmlns:a16="http://schemas.microsoft.com/office/drawing/2014/main" id="{C35974B4-44C8-44A9-93F7-8AA6FDEA1186}"/>
            </a:ext>
          </a:extLst>
        </xdr:cNvPr>
        <xdr:cNvSpPr/>
      </xdr:nvSpPr>
      <xdr:spPr>
        <a:xfrm>
          <a:off x="7558992" y="3391809"/>
          <a:ext cx="1254718" cy="244800"/>
        </a:xfrm>
        <a:prstGeom prst="rect">
          <a:avLst/>
        </a:prstGeom>
        <a:solidFill>
          <a:srgbClr val="0A4669"/>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r>
            <a:rPr lang="de-AT" sz="1000">
              <a:solidFill>
                <a:schemeClr val="bg1"/>
              </a:solidFill>
              <a:latin typeface="PP Pangram Sans Semibold" panose="00000705000000000000" pitchFamily="2" charset="0"/>
            </a:rPr>
            <a:t>CAA capacity</a:t>
          </a:r>
        </a:p>
      </xdr:txBody>
    </xdr:sp>
    <xdr:clientData/>
  </xdr:twoCellAnchor>
  <xdr:twoCellAnchor>
    <xdr:from>
      <xdr:col>7</xdr:col>
      <xdr:colOff>723111</xdr:colOff>
      <xdr:row>17</xdr:row>
      <xdr:rowOff>96159</xdr:rowOff>
    </xdr:from>
    <xdr:to>
      <xdr:col>8</xdr:col>
      <xdr:colOff>359996</xdr:colOff>
      <xdr:row>18</xdr:row>
      <xdr:rowOff>150459</xdr:rowOff>
    </xdr:to>
    <xdr:sp macro="" textlink="$C$22">
      <xdr:nvSpPr>
        <xdr:cNvPr id="19" name="Rechteck 18">
          <a:extLst>
            <a:ext uri="{FF2B5EF4-FFF2-40B4-BE49-F238E27FC236}">
              <a16:creationId xmlns:a16="http://schemas.microsoft.com/office/drawing/2014/main" id="{9D01FB56-556C-4CDC-AE67-A6D31FF8A85F}"/>
            </a:ext>
          </a:extLst>
        </xdr:cNvPr>
        <xdr:cNvSpPr/>
      </xdr:nvSpPr>
      <xdr:spPr>
        <a:xfrm>
          <a:off x="8857461" y="3391809"/>
          <a:ext cx="541760" cy="244800"/>
        </a:xfrm>
        <a:prstGeom prst="rect">
          <a:avLst/>
        </a:prstGeom>
        <a:solidFill>
          <a:srgbClr val="0A4669"/>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algn="ctr"/>
          <a:fld id="{B310B016-8D2F-4BE9-988D-D24B679BF6D7}" type="TxLink">
            <a:rPr lang="en-US" sz="1100" b="1" i="0" u="none" strike="noStrike">
              <a:solidFill>
                <a:schemeClr val="bg1"/>
              </a:solidFill>
              <a:latin typeface="Calibri"/>
              <a:ea typeface="Calibri"/>
              <a:cs typeface="Calibri"/>
            </a:rPr>
            <a:pPr algn="ctr"/>
            <a:t>0,8%</a:t>
          </a:fld>
          <a:endParaRPr lang="de-AT" sz="1000">
            <a:solidFill>
              <a:schemeClr val="bg1"/>
            </a:solidFill>
            <a:latin typeface="PP Pangram Sans Semibold" panose="00000705000000000000" pitchFamily="2" charset="0"/>
          </a:endParaRPr>
        </a:p>
      </xdr:txBody>
    </xdr:sp>
    <xdr:clientData/>
  </xdr:twoCellAnchor>
  <xdr:twoCellAnchor>
    <xdr:from>
      <xdr:col>23</xdr:col>
      <xdr:colOff>228600</xdr:colOff>
      <xdr:row>36</xdr:row>
      <xdr:rowOff>38847</xdr:rowOff>
    </xdr:from>
    <xdr:to>
      <xdr:col>26</xdr:col>
      <xdr:colOff>840441</xdr:colOff>
      <xdr:row>41</xdr:row>
      <xdr:rowOff>156883</xdr:rowOff>
    </xdr:to>
    <xdr:sp macro="" textlink="">
      <xdr:nvSpPr>
        <xdr:cNvPr id="20" name="Textfeld 19">
          <a:extLst>
            <a:ext uri="{FF2B5EF4-FFF2-40B4-BE49-F238E27FC236}">
              <a16:creationId xmlns:a16="http://schemas.microsoft.com/office/drawing/2014/main" id="{A4A3E1DF-9565-4B21-A1A7-C3D4A45E92D4}"/>
            </a:ext>
          </a:extLst>
        </xdr:cNvPr>
        <xdr:cNvSpPr txBox="1"/>
      </xdr:nvSpPr>
      <xdr:spPr>
        <a:xfrm>
          <a:off x="22517100" y="6963522"/>
          <a:ext cx="3212166" cy="107053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AT" sz="800" i="1"/>
            <a:t>calculations set</a:t>
          </a:r>
          <a:r>
            <a:rPr lang="de-AT" sz="800" i="1" baseline="0"/>
            <a:t> up only for case that GCA is providing the ITC to TAG</a:t>
          </a:r>
          <a:endParaRPr lang="de-AT" sz="800" i="1"/>
        </a:p>
      </xdr:txBody>
    </xdr:sp>
    <xdr:clientData/>
  </xdr:twoCellAnchor>
  <xdr:twoCellAnchor>
    <xdr:from>
      <xdr:col>4</xdr:col>
      <xdr:colOff>243840</xdr:colOff>
      <xdr:row>9</xdr:row>
      <xdr:rowOff>21997</xdr:rowOff>
    </xdr:from>
    <xdr:to>
      <xdr:col>5</xdr:col>
      <xdr:colOff>893490</xdr:colOff>
      <xdr:row>10</xdr:row>
      <xdr:rowOff>76297</xdr:rowOff>
    </xdr:to>
    <xdr:sp macro="" textlink="">
      <xdr:nvSpPr>
        <xdr:cNvPr id="21" name="Rechteck 20">
          <a:extLst>
            <a:ext uri="{FF2B5EF4-FFF2-40B4-BE49-F238E27FC236}">
              <a16:creationId xmlns:a16="http://schemas.microsoft.com/office/drawing/2014/main" id="{CFE7875D-6557-44E7-BB49-0FC3928D18E3}"/>
            </a:ext>
          </a:extLst>
        </xdr:cNvPr>
        <xdr:cNvSpPr/>
      </xdr:nvSpPr>
      <xdr:spPr>
        <a:xfrm>
          <a:off x="5092065" y="1793647"/>
          <a:ext cx="1887900" cy="244800"/>
        </a:xfrm>
        <a:prstGeom prst="rect">
          <a:avLst/>
        </a:prstGeom>
        <a:solidFill>
          <a:srgbClr val="0A4669"/>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r>
            <a:rPr lang="de-AT" sz="1000">
              <a:solidFill>
                <a:schemeClr val="bg1"/>
              </a:solidFill>
              <a:latin typeface="PP Pangram Sans Semibold" panose="00000705000000000000" pitchFamily="2" charset="0"/>
            </a:rPr>
            <a:t>Planned capacity revenues</a:t>
          </a:r>
        </a:p>
      </xdr:txBody>
    </xdr:sp>
    <xdr:clientData/>
  </xdr:twoCellAnchor>
  <xdr:twoCellAnchor>
    <xdr:from>
      <xdr:col>6</xdr:col>
      <xdr:colOff>22876</xdr:colOff>
      <xdr:row>9</xdr:row>
      <xdr:rowOff>21997</xdr:rowOff>
    </xdr:from>
    <xdr:to>
      <xdr:col>6</xdr:col>
      <xdr:colOff>558157</xdr:colOff>
      <xdr:row>10</xdr:row>
      <xdr:rowOff>76297</xdr:rowOff>
    </xdr:to>
    <xdr:sp macro="" textlink="AF21">
      <xdr:nvSpPr>
        <xdr:cNvPr id="22" name="Rechteck 21">
          <a:extLst>
            <a:ext uri="{FF2B5EF4-FFF2-40B4-BE49-F238E27FC236}">
              <a16:creationId xmlns:a16="http://schemas.microsoft.com/office/drawing/2014/main" id="{B053CF35-75C2-4FC3-9136-07D5623BC291}"/>
            </a:ext>
          </a:extLst>
        </xdr:cNvPr>
        <xdr:cNvSpPr/>
      </xdr:nvSpPr>
      <xdr:spPr>
        <a:xfrm>
          <a:off x="7319026" y="1793647"/>
          <a:ext cx="535281" cy="244800"/>
        </a:xfrm>
        <a:prstGeom prst="rect">
          <a:avLst/>
        </a:prstGeom>
        <a:solidFill>
          <a:schemeClr val="bg1">
            <a:lumMod val="85000"/>
          </a:schemeClr>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marL="0" indent="0" algn="ctr" defTabSz="144000" rtl="0" eaLnBrk="1" latinLnBrk="0" hangingPunct="1"/>
          <a:fld id="{583443FB-B6BC-404B-ACA9-C6A32B0A5DA4}" type="TxLink">
            <a:rPr lang="en-US" sz="1100" b="0" i="0" u="none" strike="noStrike" kern="1200">
              <a:solidFill>
                <a:schemeClr val="bg1">
                  <a:lumMod val="50000"/>
                </a:schemeClr>
              </a:solidFill>
              <a:latin typeface="Calibri"/>
              <a:ea typeface="Calibri"/>
              <a:cs typeface="Calibri"/>
            </a:rPr>
            <a:pPr marL="0" indent="0" algn="ctr" defTabSz="144000" rtl="0" eaLnBrk="1" latinLnBrk="0" hangingPunct="1"/>
            <a:t>158,3</a:t>
          </a:fld>
          <a:endParaRPr lang="de-AT" sz="1100" b="0" i="0" u="none" strike="noStrike" kern="1200">
            <a:solidFill>
              <a:schemeClr val="bg1">
                <a:lumMod val="50000"/>
              </a:schemeClr>
            </a:solidFill>
            <a:latin typeface="Calibri"/>
            <a:ea typeface="Calibri"/>
            <a:cs typeface="Calibri"/>
          </a:endParaRPr>
        </a:p>
      </xdr:txBody>
    </xdr:sp>
    <xdr:clientData/>
  </xdr:twoCellAnchor>
  <xdr:twoCellAnchor>
    <xdr:from>
      <xdr:col>6</xdr:col>
      <xdr:colOff>809706</xdr:colOff>
      <xdr:row>9</xdr:row>
      <xdr:rowOff>21997</xdr:rowOff>
    </xdr:from>
    <xdr:to>
      <xdr:col>7</xdr:col>
      <xdr:colOff>488113</xdr:colOff>
      <xdr:row>10</xdr:row>
      <xdr:rowOff>76297</xdr:rowOff>
    </xdr:to>
    <xdr:sp macro="" textlink="AF17">
      <xdr:nvSpPr>
        <xdr:cNvPr id="23" name="Rechteck 22">
          <a:extLst>
            <a:ext uri="{FF2B5EF4-FFF2-40B4-BE49-F238E27FC236}">
              <a16:creationId xmlns:a16="http://schemas.microsoft.com/office/drawing/2014/main" id="{3BEB9943-F6A6-40C2-94C2-DE31BE43A05E}"/>
            </a:ext>
          </a:extLst>
        </xdr:cNvPr>
        <xdr:cNvSpPr/>
      </xdr:nvSpPr>
      <xdr:spPr>
        <a:xfrm>
          <a:off x="8105856" y="1793647"/>
          <a:ext cx="516607" cy="244800"/>
        </a:xfrm>
        <a:prstGeom prst="rect">
          <a:avLst/>
        </a:prstGeom>
        <a:solidFill>
          <a:srgbClr val="DCE6F2"/>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algn="ctr"/>
          <a:fld id="{24582AEA-4C6B-4D4F-B4B8-5EEACC623E44}" type="TxLink">
            <a:rPr lang="en-US" sz="1100" b="0" i="0" u="none" strike="noStrike">
              <a:solidFill>
                <a:schemeClr val="bg1">
                  <a:lumMod val="50000"/>
                </a:schemeClr>
              </a:solidFill>
              <a:latin typeface="Calibri"/>
              <a:ea typeface="Calibri"/>
              <a:cs typeface="Calibri"/>
            </a:rPr>
            <a:pPr algn="ctr"/>
            <a:t>54,1</a:t>
          </a:fld>
          <a:endParaRPr lang="de-AT" sz="1000" b="0">
            <a:solidFill>
              <a:schemeClr val="bg1">
                <a:lumMod val="50000"/>
              </a:schemeClr>
            </a:solidFill>
            <a:latin typeface="PP Pangram Sans Semibold" panose="00000705000000000000" pitchFamily="2" charset="0"/>
          </a:endParaRPr>
        </a:p>
      </xdr:txBody>
    </xdr:sp>
    <xdr:clientData/>
  </xdr:twoCellAnchor>
  <xdr:twoCellAnchor>
    <xdr:from>
      <xdr:col>7</xdr:col>
      <xdr:colOff>739661</xdr:colOff>
      <xdr:row>9</xdr:row>
      <xdr:rowOff>21997</xdr:rowOff>
    </xdr:from>
    <xdr:to>
      <xdr:col>8</xdr:col>
      <xdr:colOff>359996</xdr:colOff>
      <xdr:row>10</xdr:row>
      <xdr:rowOff>76297</xdr:rowOff>
    </xdr:to>
    <xdr:sp macro="" textlink="AF22">
      <xdr:nvSpPr>
        <xdr:cNvPr id="24" name="Rechteck 23">
          <a:extLst>
            <a:ext uri="{FF2B5EF4-FFF2-40B4-BE49-F238E27FC236}">
              <a16:creationId xmlns:a16="http://schemas.microsoft.com/office/drawing/2014/main" id="{4E5D487E-79F9-4995-B0AC-0FE535CF92EA}"/>
            </a:ext>
          </a:extLst>
        </xdr:cNvPr>
        <xdr:cNvSpPr/>
      </xdr:nvSpPr>
      <xdr:spPr>
        <a:xfrm>
          <a:off x="8874011" y="1793647"/>
          <a:ext cx="525210" cy="244800"/>
        </a:xfrm>
        <a:prstGeom prst="rect">
          <a:avLst/>
        </a:prstGeom>
        <a:solidFill>
          <a:schemeClr val="bg1">
            <a:lumMod val="85000"/>
          </a:schemeClr>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marL="0" indent="0" algn="ctr" defTabSz="144000" rtl="0" eaLnBrk="1" latinLnBrk="0" hangingPunct="1"/>
          <a:fld id="{E39E1A8C-92B8-4D86-8F27-B5E4B5E775B9}" type="TxLink">
            <a:rPr lang="en-US" sz="1100" b="0" i="0" u="none" strike="noStrike" kern="1200">
              <a:solidFill>
                <a:schemeClr val="bg1">
                  <a:lumMod val="50000"/>
                </a:schemeClr>
              </a:solidFill>
              <a:latin typeface="Calibri"/>
              <a:ea typeface="Calibri"/>
              <a:cs typeface="Calibri"/>
            </a:rPr>
            <a:pPr marL="0" indent="0" algn="ctr" defTabSz="144000" rtl="0" eaLnBrk="1" latinLnBrk="0" hangingPunct="1"/>
            <a:t>122,8</a:t>
          </a:fld>
          <a:endParaRPr lang="de-AT" sz="1100" b="0" i="0" u="none" strike="noStrike" kern="1200">
            <a:solidFill>
              <a:schemeClr val="bg1">
                <a:lumMod val="50000"/>
              </a:schemeClr>
            </a:solidFill>
            <a:latin typeface="Calibri"/>
            <a:ea typeface="Calibri"/>
            <a:cs typeface="Calibri"/>
          </a:endParaRPr>
        </a:p>
      </xdr:txBody>
    </xdr:sp>
    <xdr:clientData/>
  </xdr:twoCellAnchor>
  <xdr:twoCellAnchor>
    <xdr:from>
      <xdr:col>6</xdr:col>
      <xdr:colOff>556252</xdr:colOff>
      <xdr:row>8</xdr:row>
      <xdr:rowOff>43394</xdr:rowOff>
    </xdr:from>
    <xdr:to>
      <xdr:col>7</xdr:col>
      <xdr:colOff>223086</xdr:colOff>
      <xdr:row>9</xdr:row>
      <xdr:rowOff>21997</xdr:rowOff>
    </xdr:to>
    <xdr:cxnSp macro="">
      <xdr:nvCxnSpPr>
        <xdr:cNvPr id="25" name="Verbinder: gewinkelt 24">
          <a:extLst>
            <a:ext uri="{FF2B5EF4-FFF2-40B4-BE49-F238E27FC236}">
              <a16:creationId xmlns:a16="http://schemas.microsoft.com/office/drawing/2014/main" id="{D22F6B39-77CC-4E5B-962B-F5E95CEC9A33}"/>
            </a:ext>
          </a:extLst>
        </xdr:cNvPr>
        <xdr:cNvCxnSpPr>
          <a:stCxn id="5" idx="3"/>
          <a:endCxn id="23" idx="0"/>
        </xdr:cNvCxnSpPr>
      </xdr:nvCxnSpPr>
      <xdr:spPr>
        <a:xfrm>
          <a:off x="7852402" y="1624544"/>
          <a:ext cx="505034" cy="169103"/>
        </a:xfrm>
        <a:prstGeom prst="bentConnector2">
          <a:avLst/>
        </a:prstGeom>
        <a:ln>
          <a:solidFill>
            <a:schemeClr val="bg1">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223087</xdr:colOff>
      <xdr:row>8</xdr:row>
      <xdr:rowOff>43393</xdr:rowOff>
    </xdr:from>
    <xdr:to>
      <xdr:col>7</xdr:col>
      <xdr:colOff>743472</xdr:colOff>
      <xdr:row>9</xdr:row>
      <xdr:rowOff>21996</xdr:rowOff>
    </xdr:to>
    <xdr:cxnSp macro="">
      <xdr:nvCxnSpPr>
        <xdr:cNvPr id="26" name="Verbinder: gewinkelt 25">
          <a:extLst>
            <a:ext uri="{FF2B5EF4-FFF2-40B4-BE49-F238E27FC236}">
              <a16:creationId xmlns:a16="http://schemas.microsoft.com/office/drawing/2014/main" id="{7B8E5F60-0D86-486E-AF66-5D599E525E7C}"/>
            </a:ext>
          </a:extLst>
        </xdr:cNvPr>
        <xdr:cNvCxnSpPr>
          <a:stCxn id="13" idx="1"/>
          <a:endCxn id="23" idx="0"/>
        </xdr:cNvCxnSpPr>
      </xdr:nvCxnSpPr>
      <xdr:spPr>
        <a:xfrm rot="10800000" flipV="1">
          <a:off x="8357437" y="1624543"/>
          <a:ext cx="520385" cy="169103"/>
        </a:xfrm>
        <a:prstGeom prst="bentConnector2">
          <a:avLst/>
        </a:prstGeom>
        <a:ln>
          <a:solidFill>
            <a:schemeClr val="bg1">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243840</xdr:colOff>
      <xdr:row>15</xdr:row>
      <xdr:rowOff>78441</xdr:rowOff>
    </xdr:from>
    <xdr:to>
      <xdr:col>5</xdr:col>
      <xdr:colOff>891540</xdr:colOff>
      <xdr:row>16</xdr:row>
      <xdr:rowOff>132741</xdr:rowOff>
    </xdr:to>
    <xdr:sp macro="" textlink="">
      <xdr:nvSpPr>
        <xdr:cNvPr id="27" name="Rechteck 26">
          <a:extLst>
            <a:ext uri="{FF2B5EF4-FFF2-40B4-BE49-F238E27FC236}">
              <a16:creationId xmlns:a16="http://schemas.microsoft.com/office/drawing/2014/main" id="{EC8ED194-1358-4C88-8463-0E9F586C76EC}"/>
            </a:ext>
          </a:extLst>
        </xdr:cNvPr>
        <xdr:cNvSpPr/>
      </xdr:nvSpPr>
      <xdr:spPr>
        <a:xfrm>
          <a:off x="5092065" y="2993091"/>
          <a:ext cx="1885950" cy="244800"/>
        </a:xfrm>
        <a:prstGeom prst="rect">
          <a:avLst/>
        </a:prstGeom>
        <a:solidFill>
          <a:srgbClr val="0A4669"/>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r>
            <a:rPr lang="de-AT" sz="1000">
              <a:solidFill>
                <a:schemeClr val="bg1"/>
              </a:solidFill>
              <a:latin typeface="PP Pangram Sans Semibold" panose="00000705000000000000" pitchFamily="2" charset="0"/>
            </a:rPr>
            <a:t>Delta</a:t>
          </a:r>
        </a:p>
      </xdr:txBody>
    </xdr:sp>
    <xdr:clientData/>
  </xdr:twoCellAnchor>
  <xdr:twoCellAnchor>
    <xdr:from>
      <xdr:col>6</xdr:col>
      <xdr:colOff>19066</xdr:colOff>
      <xdr:row>15</xdr:row>
      <xdr:rowOff>78441</xdr:rowOff>
    </xdr:from>
    <xdr:to>
      <xdr:col>6</xdr:col>
      <xdr:colOff>556252</xdr:colOff>
      <xdr:row>16</xdr:row>
      <xdr:rowOff>132741</xdr:rowOff>
    </xdr:to>
    <xdr:sp macro="" textlink="AF26">
      <xdr:nvSpPr>
        <xdr:cNvPr id="28" name="Rechteck 27">
          <a:extLst>
            <a:ext uri="{FF2B5EF4-FFF2-40B4-BE49-F238E27FC236}">
              <a16:creationId xmlns:a16="http://schemas.microsoft.com/office/drawing/2014/main" id="{FF0CB777-5B29-4B70-9C10-C2E01A87851F}"/>
            </a:ext>
          </a:extLst>
        </xdr:cNvPr>
        <xdr:cNvSpPr/>
      </xdr:nvSpPr>
      <xdr:spPr>
        <a:xfrm>
          <a:off x="7315216" y="2993091"/>
          <a:ext cx="537186" cy="244800"/>
        </a:xfrm>
        <a:prstGeom prst="rect">
          <a:avLst/>
        </a:prstGeom>
        <a:solidFill>
          <a:schemeClr val="bg1">
            <a:lumMod val="85000"/>
          </a:schemeClr>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marL="0" indent="0" algn="ctr" defTabSz="144000" rtl="0" eaLnBrk="1" latinLnBrk="0" hangingPunct="1"/>
          <a:fld id="{C62DB72E-5178-4549-AEFC-A574F2CAF727}" type="TxLink">
            <a:rPr lang="en-US" sz="1100" b="0" i="0" u="none" strike="noStrike" kern="1200">
              <a:solidFill>
                <a:schemeClr val="bg1">
                  <a:lumMod val="50000"/>
                </a:schemeClr>
              </a:solidFill>
              <a:latin typeface="Calibri"/>
              <a:ea typeface="Calibri"/>
              <a:cs typeface="Calibri"/>
            </a:rPr>
            <a:pPr marL="0" indent="0" algn="ctr" defTabSz="144000" rtl="0" eaLnBrk="1" latinLnBrk="0" hangingPunct="1"/>
            <a:t>0,0</a:t>
          </a:fld>
          <a:endParaRPr lang="de-AT" sz="1100" b="0" i="0" u="none" strike="noStrike" kern="1200">
            <a:solidFill>
              <a:schemeClr val="bg1">
                <a:lumMod val="50000"/>
              </a:schemeClr>
            </a:solidFill>
            <a:latin typeface="Calibri"/>
            <a:ea typeface="Calibri"/>
            <a:cs typeface="Calibri"/>
          </a:endParaRPr>
        </a:p>
      </xdr:txBody>
    </xdr:sp>
    <xdr:clientData/>
  </xdr:twoCellAnchor>
  <xdr:twoCellAnchor>
    <xdr:from>
      <xdr:col>7</xdr:col>
      <xdr:colOff>743471</xdr:colOff>
      <xdr:row>15</xdr:row>
      <xdr:rowOff>78441</xdr:rowOff>
    </xdr:from>
    <xdr:to>
      <xdr:col>8</xdr:col>
      <xdr:colOff>363806</xdr:colOff>
      <xdr:row>16</xdr:row>
      <xdr:rowOff>132741</xdr:rowOff>
    </xdr:to>
    <xdr:sp macro="" textlink="AH17">
      <xdr:nvSpPr>
        <xdr:cNvPr id="29" name="Rechteck 28">
          <a:extLst>
            <a:ext uri="{FF2B5EF4-FFF2-40B4-BE49-F238E27FC236}">
              <a16:creationId xmlns:a16="http://schemas.microsoft.com/office/drawing/2014/main" id="{881E6E97-9866-4B7A-8AEC-4CD72E9AE18C}"/>
            </a:ext>
          </a:extLst>
        </xdr:cNvPr>
        <xdr:cNvSpPr/>
      </xdr:nvSpPr>
      <xdr:spPr>
        <a:xfrm>
          <a:off x="8877821" y="2993091"/>
          <a:ext cx="525210" cy="244800"/>
        </a:xfrm>
        <a:prstGeom prst="rect">
          <a:avLst/>
        </a:prstGeom>
        <a:solidFill>
          <a:schemeClr val="bg1">
            <a:lumMod val="85000"/>
          </a:schemeClr>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marL="0" indent="0" algn="ctr" defTabSz="144000" rtl="0" eaLnBrk="1" latinLnBrk="0" hangingPunct="1"/>
          <a:fld id="{D1C56725-558D-461C-B3D3-99B8AFED2099}" type="TxLink">
            <a:rPr lang="en-US" sz="1100" b="0" i="0" u="none" strike="noStrike" kern="1200">
              <a:solidFill>
                <a:schemeClr val="bg1">
                  <a:lumMod val="50000"/>
                </a:schemeClr>
              </a:solidFill>
              <a:latin typeface="Calibri"/>
              <a:ea typeface="Calibri"/>
              <a:cs typeface="Calibri"/>
            </a:rPr>
            <a:pPr marL="0" indent="0" algn="ctr" defTabSz="144000" rtl="0" eaLnBrk="1" latinLnBrk="0" hangingPunct="1"/>
            <a:t>0,0</a:t>
          </a:fld>
          <a:endParaRPr lang="de-AT" sz="1100" b="0" i="0" u="none" strike="noStrike" kern="1200">
            <a:solidFill>
              <a:schemeClr val="bg1">
                <a:lumMod val="50000"/>
              </a:schemeClr>
            </a:solidFill>
            <a:latin typeface="Calibri"/>
            <a:ea typeface="Calibri"/>
            <a:cs typeface="Calibri"/>
          </a:endParaRPr>
        </a:p>
      </xdr:txBody>
    </xdr:sp>
    <xdr:clientData/>
  </xdr:twoCellAnchor>
  <xdr:twoCellAnchor>
    <xdr:from>
      <xdr:col>6</xdr:col>
      <xdr:colOff>846017</xdr:colOff>
      <xdr:row>12</xdr:row>
      <xdr:rowOff>20731</xdr:rowOff>
    </xdr:from>
    <xdr:to>
      <xdr:col>7</xdr:col>
      <xdr:colOff>603257</xdr:colOff>
      <xdr:row>13</xdr:row>
      <xdr:rowOff>75031</xdr:rowOff>
    </xdr:to>
    <xdr:sp macro="" textlink="AF19">
      <xdr:nvSpPr>
        <xdr:cNvPr id="30" name="Rechteck 29">
          <a:extLst>
            <a:ext uri="{FF2B5EF4-FFF2-40B4-BE49-F238E27FC236}">
              <a16:creationId xmlns:a16="http://schemas.microsoft.com/office/drawing/2014/main" id="{3B41179B-4030-40AD-9563-07D16E958ED5}"/>
            </a:ext>
          </a:extLst>
        </xdr:cNvPr>
        <xdr:cNvSpPr/>
      </xdr:nvSpPr>
      <xdr:spPr>
        <a:xfrm>
          <a:off x="8132642" y="2363881"/>
          <a:ext cx="604965" cy="244800"/>
        </a:xfrm>
        <a:prstGeom prst="rect">
          <a:avLst/>
        </a:prstGeom>
        <a:no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marL="0" indent="0" algn="r" defTabSz="144000" rtl="0" eaLnBrk="1" latinLnBrk="0" hangingPunct="1"/>
          <a:fld id="{A21DC994-4EC4-4308-9CF4-91B5E97C9965}" type="TxLink">
            <a:rPr lang="en-US" sz="1100" b="0" i="0" u="none" strike="noStrike" kern="1200">
              <a:solidFill>
                <a:schemeClr val="bg1">
                  <a:lumMod val="50000"/>
                </a:schemeClr>
              </a:solidFill>
              <a:latin typeface="Calibri"/>
              <a:ea typeface="Calibri"/>
              <a:cs typeface="Calibri"/>
            </a:rPr>
            <a:pPr marL="0" indent="0" algn="r" defTabSz="144000" rtl="0" eaLnBrk="1" latinLnBrk="0" hangingPunct="1"/>
            <a:t>0,0</a:t>
          </a:fld>
          <a:endParaRPr lang="de-AT" sz="1100" b="0" i="0" u="none" strike="noStrike" kern="1200">
            <a:solidFill>
              <a:schemeClr val="bg1">
                <a:lumMod val="50000"/>
              </a:schemeClr>
            </a:solidFill>
            <a:latin typeface="Calibri"/>
            <a:ea typeface="Calibri"/>
            <a:cs typeface="Calibri"/>
          </a:endParaRPr>
        </a:p>
      </xdr:txBody>
    </xdr:sp>
    <xdr:clientData/>
  </xdr:twoCellAnchor>
  <xdr:twoCellAnchor>
    <xdr:from>
      <xdr:col>7</xdr:col>
      <xdr:colOff>222134</xdr:colOff>
      <xdr:row>10</xdr:row>
      <xdr:rowOff>76297</xdr:rowOff>
    </xdr:from>
    <xdr:to>
      <xdr:col>7</xdr:col>
      <xdr:colOff>223086</xdr:colOff>
      <xdr:row>13</xdr:row>
      <xdr:rowOff>174905</xdr:rowOff>
    </xdr:to>
    <xdr:cxnSp macro="">
      <xdr:nvCxnSpPr>
        <xdr:cNvPr id="31" name="Gerade Verbindung mit Pfeil 30">
          <a:extLst>
            <a:ext uri="{FF2B5EF4-FFF2-40B4-BE49-F238E27FC236}">
              <a16:creationId xmlns:a16="http://schemas.microsoft.com/office/drawing/2014/main" id="{6F700AA5-8391-4D5F-A436-2B9EC6AFEB7B}"/>
            </a:ext>
          </a:extLst>
        </xdr:cNvPr>
        <xdr:cNvCxnSpPr>
          <a:stCxn id="23" idx="2"/>
          <a:endCxn id="9" idx="0"/>
        </xdr:cNvCxnSpPr>
      </xdr:nvCxnSpPr>
      <xdr:spPr>
        <a:xfrm flipH="1">
          <a:off x="8356484" y="2038447"/>
          <a:ext cx="952" cy="670108"/>
        </a:xfrm>
        <a:prstGeom prst="straightConnector1">
          <a:avLst/>
        </a:prstGeom>
        <a:ln>
          <a:solidFill>
            <a:schemeClr val="bg1">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556252</xdr:colOff>
      <xdr:row>11</xdr:row>
      <xdr:rowOff>182461</xdr:rowOff>
    </xdr:from>
    <xdr:to>
      <xdr:col>7</xdr:col>
      <xdr:colOff>743471</xdr:colOff>
      <xdr:row>11</xdr:row>
      <xdr:rowOff>182461</xdr:rowOff>
    </xdr:to>
    <xdr:cxnSp macro="">
      <xdr:nvCxnSpPr>
        <xdr:cNvPr id="32" name="Gerader Verbinder 31">
          <a:extLst>
            <a:ext uri="{FF2B5EF4-FFF2-40B4-BE49-F238E27FC236}">
              <a16:creationId xmlns:a16="http://schemas.microsoft.com/office/drawing/2014/main" id="{8C3A5D72-CD2C-4537-B0CD-8DA71658497A}"/>
            </a:ext>
          </a:extLst>
        </xdr:cNvPr>
        <xdr:cNvCxnSpPr>
          <a:stCxn id="4" idx="3"/>
          <a:endCxn id="12" idx="1"/>
        </xdr:cNvCxnSpPr>
      </xdr:nvCxnSpPr>
      <xdr:spPr>
        <a:xfrm>
          <a:off x="7852402" y="2335111"/>
          <a:ext cx="1025419" cy="0"/>
        </a:xfrm>
        <a:prstGeom prst="line">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556252</xdr:colOff>
      <xdr:row>14</xdr:row>
      <xdr:rowOff>106805</xdr:rowOff>
    </xdr:from>
    <xdr:to>
      <xdr:col>6</xdr:col>
      <xdr:colOff>807801</xdr:colOff>
      <xdr:row>14</xdr:row>
      <xdr:rowOff>106805</xdr:rowOff>
    </xdr:to>
    <xdr:cxnSp macro="">
      <xdr:nvCxnSpPr>
        <xdr:cNvPr id="33" name="Gerade Verbindung mit Pfeil 32">
          <a:extLst>
            <a:ext uri="{FF2B5EF4-FFF2-40B4-BE49-F238E27FC236}">
              <a16:creationId xmlns:a16="http://schemas.microsoft.com/office/drawing/2014/main" id="{2F03E304-8A7C-4AA6-BE9B-7CFB13583CEF}"/>
            </a:ext>
          </a:extLst>
        </xdr:cNvPr>
        <xdr:cNvCxnSpPr>
          <a:stCxn id="9" idx="1"/>
          <a:endCxn id="7" idx="3"/>
        </xdr:cNvCxnSpPr>
      </xdr:nvCxnSpPr>
      <xdr:spPr>
        <a:xfrm flipH="1">
          <a:off x="7852402" y="2830955"/>
          <a:ext cx="251549" cy="0"/>
        </a:xfrm>
        <a:prstGeom prst="straightConnector1">
          <a:avLst/>
        </a:prstGeom>
        <a:ln>
          <a:solidFill>
            <a:schemeClr val="bg1">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488113</xdr:colOff>
      <xdr:row>14</xdr:row>
      <xdr:rowOff>106805</xdr:rowOff>
    </xdr:from>
    <xdr:to>
      <xdr:col>7</xdr:col>
      <xdr:colOff>739661</xdr:colOff>
      <xdr:row>14</xdr:row>
      <xdr:rowOff>106805</xdr:rowOff>
    </xdr:to>
    <xdr:cxnSp macro="">
      <xdr:nvCxnSpPr>
        <xdr:cNvPr id="34" name="Gerade Verbindung mit Pfeil 33">
          <a:extLst>
            <a:ext uri="{FF2B5EF4-FFF2-40B4-BE49-F238E27FC236}">
              <a16:creationId xmlns:a16="http://schemas.microsoft.com/office/drawing/2014/main" id="{05D73C9D-3F0B-4371-8612-1C82F908CD9A}"/>
            </a:ext>
          </a:extLst>
        </xdr:cNvPr>
        <xdr:cNvCxnSpPr>
          <a:stCxn id="9" idx="3"/>
          <a:endCxn id="14" idx="1"/>
        </xdr:cNvCxnSpPr>
      </xdr:nvCxnSpPr>
      <xdr:spPr>
        <a:xfrm>
          <a:off x="8622463" y="2830955"/>
          <a:ext cx="251548" cy="0"/>
        </a:xfrm>
        <a:prstGeom prst="straightConnector1">
          <a:avLst/>
        </a:prstGeom>
        <a:ln>
          <a:solidFill>
            <a:schemeClr val="bg1">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243840</xdr:colOff>
      <xdr:row>29</xdr:row>
      <xdr:rowOff>50537</xdr:rowOff>
    </xdr:from>
    <xdr:to>
      <xdr:col>5</xdr:col>
      <xdr:colOff>893490</xdr:colOff>
      <xdr:row>30</xdr:row>
      <xdr:rowOff>104837</xdr:rowOff>
    </xdr:to>
    <xdr:sp macro="" textlink="">
      <xdr:nvSpPr>
        <xdr:cNvPr id="35" name="Rechteck 34">
          <a:extLst>
            <a:ext uri="{FF2B5EF4-FFF2-40B4-BE49-F238E27FC236}">
              <a16:creationId xmlns:a16="http://schemas.microsoft.com/office/drawing/2014/main" id="{C6AE4341-960D-4F99-9D77-4C37B50C603E}"/>
            </a:ext>
          </a:extLst>
        </xdr:cNvPr>
        <xdr:cNvSpPr/>
      </xdr:nvSpPr>
      <xdr:spPr>
        <a:xfrm>
          <a:off x="5092065" y="5632187"/>
          <a:ext cx="1887900" cy="244800"/>
        </a:xfrm>
        <a:prstGeom prst="rect">
          <a:avLst/>
        </a:prstGeom>
        <a:solidFill>
          <a:srgbClr val="0A4669"/>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r>
            <a:rPr lang="de-AT" sz="1000">
              <a:solidFill>
                <a:schemeClr val="bg1"/>
              </a:solidFill>
              <a:latin typeface="PP Pangram Sans Semibold" panose="00000705000000000000" pitchFamily="2" charset="0"/>
            </a:rPr>
            <a:t>Actual</a:t>
          </a:r>
          <a:r>
            <a:rPr lang="de-AT" sz="1000" baseline="0">
              <a:solidFill>
                <a:schemeClr val="bg1"/>
              </a:solidFill>
              <a:latin typeface="PP Pangram Sans Semibold" panose="00000705000000000000" pitchFamily="2" charset="0"/>
            </a:rPr>
            <a:t> commodity</a:t>
          </a:r>
          <a:r>
            <a:rPr lang="de-AT" sz="1000">
              <a:solidFill>
                <a:schemeClr val="bg1"/>
              </a:solidFill>
              <a:latin typeface="PP Pangram Sans Semibold" panose="00000705000000000000" pitchFamily="2" charset="0"/>
            </a:rPr>
            <a:t> revenues</a:t>
          </a:r>
        </a:p>
      </xdr:txBody>
    </xdr:sp>
    <xdr:clientData/>
  </xdr:twoCellAnchor>
  <xdr:twoCellAnchor>
    <xdr:from>
      <xdr:col>4</xdr:col>
      <xdr:colOff>243840</xdr:colOff>
      <xdr:row>25</xdr:row>
      <xdr:rowOff>111494</xdr:rowOff>
    </xdr:from>
    <xdr:to>
      <xdr:col>5</xdr:col>
      <xdr:colOff>893490</xdr:colOff>
      <xdr:row>26</xdr:row>
      <xdr:rowOff>165794</xdr:rowOff>
    </xdr:to>
    <xdr:sp macro="" textlink="">
      <xdr:nvSpPr>
        <xdr:cNvPr id="36" name="Rechteck 35">
          <a:extLst>
            <a:ext uri="{FF2B5EF4-FFF2-40B4-BE49-F238E27FC236}">
              <a16:creationId xmlns:a16="http://schemas.microsoft.com/office/drawing/2014/main" id="{04F28BCC-724F-43BC-9645-69D63633885F}"/>
            </a:ext>
          </a:extLst>
        </xdr:cNvPr>
        <xdr:cNvSpPr/>
      </xdr:nvSpPr>
      <xdr:spPr>
        <a:xfrm>
          <a:off x="5092065" y="4931144"/>
          <a:ext cx="1887900" cy="244800"/>
        </a:xfrm>
        <a:prstGeom prst="rect">
          <a:avLst/>
        </a:prstGeom>
        <a:solidFill>
          <a:srgbClr val="0A4669"/>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r>
            <a:rPr lang="de-AT" sz="1000">
              <a:solidFill>
                <a:schemeClr val="bg1"/>
              </a:solidFill>
              <a:latin typeface="PP Pangram Sans Semibold" panose="00000705000000000000" pitchFamily="2" charset="0"/>
            </a:rPr>
            <a:t>Commodity cost base</a:t>
          </a:r>
        </a:p>
      </xdr:txBody>
    </xdr:sp>
    <xdr:clientData/>
  </xdr:twoCellAnchor>
  <xdr:twoCellAnchor>
    <xdr:from>
      <xdr:col>6</xdr:col>
      <xdr:colOff>19066</xdr:colOff>
      <xdr:row>29</xdr:row>
      <xdr:rowOff>60061</xdr:rowOff>
    </xdr:from>
    <xdr:to>
      <xdr:col>6</xdr:col>
      <xdr:colOff>556252</xdr:colOff>
      <xdr:row>30</xdr:row>
      <xdr:rowOff>114361</xdr:rowOff>
    </xdr:to>
    <xdr:sp macro="" textlink="$AF$39">
      <xdr:nvSpPr>
        <xdr:cNvPr id="37" name="Rechteck 36">
          <a:extLst>
            <a:ext uri="{FF2B5EF4-FFF2-40B4-BE49-F238E27FC236}">
              <a16:creationId xmlns:a16="http://schemas.microsoft.com/office/drawing/2014/main" id="{8D72D35D-9138-42CC-BE36-A57C4FDD5662}"/>
            </a:ext>
          </a:extLst>
        </xdr:cNvPr>
        <xdr:cNvSpPr/>
      </xdr:nvSpPr>
      <xdr:spPr>
        <a:xfrm>
          <a:off x="7315216" y="5641711"/>
          <a:ext cx="537186" cy="244800"/>
        </a:xfrm>
        <a:prstGeom prst="rect">
          <a:avLst/>
        </a:prstGeom>
        <a:solidFill>
          <a:schemeClr val="bg1">
            <a:lumMod val="85000"/>
          </a:schemeClr>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marL="0" indent="0" algn="ctr" defTabSz="144000" rtl="0" eaLnBrk="1" latinLnBrk="0" hangingPunct="1"/>
          <a:fld id="{25DE2645-9791-4462-AF1B-6CCEA9161CC5}" type="TxLink">
            <a:rPr lang="en-US" sz="1100" b="0" i="0" u="none" strike="noStrike" kern="1200">
              <a:solidFill>
                <a:schemeClr val="bg1">
                  <a:lumMod val="50000"/>
                </a:schemeClr>
              </a:solidFill>
              <a:latin typeface="Calibri"/>
              <a:ea typeface="Calibri"/>
              <a:cs typeface="Calibri"/>
            </a:rPr>
            <a:pPr marL="0" indent="0" algn="ctr" defTabSz="144000" rtl="0" eaLnBrk="1" latinLnBrk="0" hangingPunct="1"/>
            <a:t>17,7</a:t>
          </a:fld>
          <a:endParaRPr lang="de-AT" sz="1100" b="0" i="0" u="none" strike="noStrike" kern="1200">
            <a:solidFill>
              <a:schemeClr val="bg1">
                <a:lumMod val="50000"/>
              </a:schemeClr>
            </a:solidFill>
            <a:latin typeface="Calibri"/>
            <a:ea typeface="Calibri"/>
            <a:cs typeface="Calibri"/>
          </a:endParaRPr>
        </a:p>
      </xdr:txBody>
    </xdr:sp>
    <xdr:clientData/>
  </xdr:twoCellAnchor>
  <xdr:twoCellAnchor>
    <xdr:from>
      <xdr:col>6</xdr:col>
      <xdr:colOff>19066</xdr:colOff>
      <xdr:row>25</xdr:row>
      <xdr:rowOff>111494</xdr:rowOff>
    </xdr:from>
    <xdr:to>
      <xdr:col>6</xdr:col>
      <xdr:colOff>556252</xdr:colOff>
      <xdr:row>26</xdr:row>
      <xdr:rowOff>165794</xdr:rowOff>
    </xdr:to>
    <xdr:sp macro="" textlink="$AF$33">
      <xdr:nvSpPr>
        <xdr:cNvPr id="38" name="Rechteck 37">
          <a:extLst>
            <a:ext uri="{FF2B5EF4-FFF2-40B4-BE49-F238E27FC236}">
              <a16:creationId xmlns:a16="http://schemas.microsoft.com/office/drawing/2014/main" id="{8EAC6200-98E8-4104-97C8-BDC09A93F203}"/>
            </a:ext>
          </a:extLst>
        </xdr:cNvPr>
        <xdr:cNvSpPr/>
      </xdr:nvSpPr>
      <xdr:spPr>
        <a:xfrm>
          <a:off x="7315216" y="4931144"/>
          <a:ext cx="537186" cy="244800"/>
        </a:xfrm>
        <a:prstGeom prst="rect">
          <a:avLst/>
        </a:prstGeom>
        <a:solidFill>
          <a:schemeClr val="bg1">
            <a:lumMod val="85000"/>
          </a:schemeClr>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p>
          <a:pPr marL="0" indent="0" algn="ctr"/>
          <a:fld id="{ED871E3A-278C-433F-9757-877F488DF348}" type="TxLink">
            <a:rPr lang="en-US" sz="1100" b="0" i="0" u="none" strike="noStrike">
              <a:solidFill>
                <a:schemeClr val="bg1">
                  <a:lumMod val="50000"/>
                </a:schemeClr>
              </a:solidFill>
              <a:latin typeface="Calibri"/>
              <a:ea typeface="+mn-ea"/>
              <a:cs typeface="Calibri"/>
            </a:rPr>
            <a:pPr marL="0" indent="0" algn="ctr"/>
            <a:t>15,7</a:t>
          </a:fld>
          <a:endParaRPr lang="en-US" sz="1100" b="0" i="0" u="none" strike="noStrike">
            <a:solidFill>
              <a:schemeClr val="bg1">
                <a:lumMod val="50000"/>
              </a:schemeClr>
            </a:solidFill>
            <a:latin typeface="Calibri"/>
            <a:ea typeface="+mn-ea"/>
            <a:cs typeface="Calibri"/>
          </a:endParaRPr>
        </a:p>
      </xdr:txBody>
    </xdr:sp>
    <xdr:clientData/>
  </xdr:twoCellAnchor>
  <xdr:twoCellAnchor>
    <xdr:from>
      <xdr:col>4</xdr:col>
      <xdr:colOff>245744</xdr:colOff>
      <xdr:row>31</xdr:row>
      <xdr:rowOff>174905</xdr:rowOff>
    </xdr:from>
    <xdr:to>
      <xdr:col>5</xdr:col>
      <xdr:colOff>895394</xdr:colOff>
      <xdr:row>33</xdr:row>
      <xdr:rowOff>27499</xdr:rowOff>
    </xdr:to>
    <xdr:sp macro="" textlink="">
      <xdr:nvSpPr>
        <xdr:cNvPr id="39" name="Rechteck 38">
          <a:extLst>
            <a:ext uri="{FF2B5EF4-FFF2-40B4-BE49-F238E27FC236}">
              <a16:creationId xmlns:a16="http://schemas.microsoft.com/office/drawing/2014/main" id="{5EAA931C-4CDA-4694-B776-328C3919F2EA}"/>
            </a:ext>
          </a:extLst>
        </xdr:cNvPr>
        <xdr:cNvSpPr/>
      </xdr:nvSpPr>
      <xdr:spPr>
        <a:xfrm>
          <a:off x="5093969" y="6137555"/>
          <a:ext cx="1887900" cy="243119"/>
        </a:xfrm>
        <a:prstGeom prst="rect">
          <a:avLst/>
        </a:prstGeom>
        <a:solidFill>
          <a:srgbClr val="0A4669"/>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r>
            <a:rPr lang="de-AT" sz="1000">
              <a:solidFill>
                <a:schemeClr val="bg1"/>
              </a:solidFill>
              <a:latin typeface="PP Pangram Sans Semibold" panose="00000705000000000000" pitchFamily="2" charset="0"/>
            </a:rPr>
            <a:t>Eff. commodity </a:t>
          </a:r>
          <a:r>
            <a:rPr lang="de-AT" sz="1000" baseline="0">
              <a:solidFill>
                <a:schemeClr val="bg1"/>
              </a:solidFill>
              <a:latin typeface="PP Pangram Sans Semibold" panose="00000705000000000000" pitchFamily="2" charset="0"/>
            </a:rPr>
            <a:t> </a:t>
          </a:r>
          <a:r>
            <a:rPr lang="de-AT" sz="1000">
              <a:solidFill>
                <a:schemeClr val="bg1"/>
              </a:solidFill>
              <a:latin typeface="PP Pangram Sans Semibold" panose="00000705000000000000" pitchFamily="2" charset="0"/>
            </a:rPr>
            <a:t>revenues</a:t>
          </a:r>
        </a:p>
      </xdr:txBody>
    </xdr:sp>
    <xdr:clientData/>
  </xdr:twoCellAnchor>
  <xdr:twoCellAnchor>
    <xdr:from>
      <xdr:col>6</xdr:col>
      <xdr:colOff>19066</xdr:colOff>
      <xdr:row>31</xdr:row>
      <xdr:rowOff>174905</xdr:rowOff>
    </xdr:from>
    <xdr:to>
      <xdr:col>6</xdr:col>
      <xdr:colOff>556252</xdr:colOff>
      <xdr:row>33</xdr:row>
      <xdr:rowOff>27499</xdr:rowOff>
    </xdr:to>
    <xdr:sp macro="" textlink="$AF$41">
      <xdr:nvSpPr>
        <xdr:cNvPr id="40" name="Rechteck 39">
          <a:extLst>
            <a:ext uri="{FF2B5EF4-FFF2-40B4-BE49-F238E27FC236}">
              <a16:creationId xmlns:a16="http://schemas.microsoft.com/office/drawing/2014/main" id="{32E88778-5D30-4B6E-A3D0-C372942630CD}"/>
            </a:ext>
          </a:extLst>
        </xdr:cNvPr>
        <xdr:cNvSpPr/>
      </xdr:nvSpPr>
      <xdr:spPr>
        <a:xfrm>
          <a:off x="7315216" y="6137555"/>
          <a:ext cx="537186" cy="243119"/>
        </a:xfrm>
        <a:prstGeom prst="rect">
          <a:avLst/>
        </a:prstGeom>
        <a:solidFill>
          <a:srgbClr val="FE6D73"/>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marL="0" indent="0" algn="ctr" defTabSz="144000" rtl="0" eaLnBrk="1" latinLnBrk="0" hangingPunct="1"/>
          <a:fld id="{52477C7A-7555-4E8B-BCAF-CA1D6F0A7A31}" type="TxLink">
            <a:rPr lang="en-US" sz="1100" b="1" i="0" u="none" strike="noStrike" kern="1200">
              <a:solidFill>
                <a:schemeClr val="bg1"/>
              </a:solidFill>
              <a:latin typeface="Calibri"/>
              <a:ea typeface="Calibri"/>
              <a:cs typeface="Calibri"/>
            </a:rPr>
            <a:pPr marL="0" indent="0" algn="ctr" defTabSz="144000" rtl="0" eaLnBrk="1" latinLnBrk="0" hangingPunct="1"/>
            <a:t>15,7</a:t>
          </a:fld>
          <a:endParaRPr lang="de-AT" sz="1100" b="1" i="0" u="none" strike="noStrike" kern="1200">
            <a:solidFill>
              <a:schemeClr val="bg1"/>
            </a:solidFill>
            <a:latin typeface="Calibri"/>
            <a:ea typeface="Calibri"/>
            <a:cs typeface="Calibri"/>
          </a:endParaRPr>
        </a:p>
      </xdr:txBody>
    </xdr:sp>
    <xdr:clientData/>
  </xdr:twoCellAnchor>
  <xdr:twoCellAnchor>
    <xdr:from>
      <xdr:col>6</xdr:col>
      <xdr:colOff>22876</xdr:colOff>
      <xdr:row>24</xdr:row>
      <xdr:rowOff>17591</xdr:rowOff>
    </xdr:from>
    <xdr:to>
      <xdr:col>6</xdr:col>
      <xdr:colOff>558157</xdr:colOff>
      <xdr:row>25</xdr:row>
      <xdr:rowOff>71891</xdr:rowOff>
    </xdr:to>
    <xdr:sp macro="" textlink="">
      <xdr:nvSpPr>
        <xdr:cNvPr id="41" name="Rechteck 40">
          <a:extLst>
            <a:ext uri="{FF2B5EF4-FFF2-40B4-BE49-F238E27FC236}">
              <a16:creationId xmlns:a16="http://schemas.microsoft.com/office/drawing/2014/main" id="{EBE73C23-9AA3-49F2-8420-99B1DF8A21CE}"/>
            </a:ext>
          </a:extLst>
        </xdr:cNvPr>
        <xdr:cNvSpPr/>
      </xdr:nvSpPr>
      <xdr:spPr>
        <a:xfrm>
          <a:off x="7319026" y="4646741"/>
          <a:ext cx="535281" cy="244800"/>
        </a:xfrm>
        <a:prstGeom prst="rect">
          <a:avLst/>
        </a:prstGeom>
        <a:solidFill>
          <a:srgbClr val="0A4669"/>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algn="ctr"/>
          <a:r>
            <a:rPr lang="de-AT" sz="1000">
              <a:solidFill>
                <a:schemeClr val="bg1"/>
              </a:solidFill>
              <a:latin typeface="PP Pangram Sans Semibold" panose="00000705000000000000" pitchFamily="2" charset="0"/>
            </a:rPr>
            <a:t>GCA</a:t>
          </a:r>
        </a:p>
      </xdr:txBody>
    </xdr:sp>
    <xdr:clientData/>
  </xdr:twoCellAnchor>
  <xdr:twoCellAnchor>
    <xdr:from>
      <xdr:col>6</xdr:col>
      <xdr:colOff>807801</xdr:colOff>
      <xdr:row>31</xdr:row>
      <xdr:rowOff>174905</xdr:rowOff>
    </xdr:from>
    <xdr:to>
      <xdr:col>7</xdr:col>
      <xdr:colOff>488113</xdr:colOff>
      <xdr:row>33</xdr:row>
      <xdr:rowOff>27499</xdr:rowOff>
    </xdr:to>
    <xdr:sp macro="" textlink="$AF$38">
      <xdr:nvSpPr>
        <xdr:cNvPr id="42" name="Rechteck 41">
          <a:extLst>
            <a:ext uri="{FF2B5EF4-FFF2-40B4-BE49-F238E27FC236}">
              <a16:creationId xmlns:a16="http://schemas.microsoft.com/office/drawing/2014/main" id="{E2D50739-446D-4ECF-BEE6-01E056EB15C2}"/>
            </a:ext>
          </a:extLst>
        </xdr:cNvPr>
        <xdr:cNvSpPr/>
      </xdr:nvSpPr>
      <xdr:spPr>
        <a:xfrm>
          <a:off x="8103951" y="6137555"/>
          <a:ext cx="518512" cy="243119"/>
        </a:xfrm>
        <a:prstGeom prst="rect">
          <a:avLst/>
        </a:prstGeom>
        <a:solidFill>
          <a:schemeClr val="accent1"/>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marL="0" indent="0" algn="ctr" defTabSz="144000" rtl="0" eaLnBrk="1" latinLnBrk="0" hangingPunct="1"/>
          <a:fld id="{CBA5D74E-C1D1-4F8E-B3E0-12D9D090F251}" type="TxLink">
            <a:rPr lang="en-US" sz="1100" b="1" i="0" u="none" strike="noStrike" kern="1200">
              <a:solidFill>
                <a:schemeClr val="bg1"/>
              </a:solidFill>
              <a:latin typeface="Calibri"/>
              <a:ea typeface="Calibri"/>
              <a:cs typeface="Calibri"/>
            </a:rPr>
            <a:pPr marL="0" indent="0" algn="ctr" defTabSz="144000" rtl="0" eaLnBrk="1" latinLnBrk="0" hangingPunct="1"/>
            <a:t>2,0</a:t>
          </a:fld>
          <a:endParaRPr lang="de-AT" sz="1100" b="1" i="0" u="none" strike="noStrike" kern="1200">
            <a:solidFill>
              <a:schemeClr val="bg1"/>
            </a:solidFill>
            <a:latin typeface="Calibri"/>
            <a:ea typeface="Calibri"/>
            <a:cs typeface="Calibri"/>
          </a:endParaRPr>
        </a:p>
      </xdr:txBody>
    </xdr:sp>
    <xdr:clientData/>
  </xdr:twoCellAnchor>
  <xdr:twoCellAnchor>
    <xdr:from>
      <xdr:col>6</xdr:col>
      <xdr:colOff>805896</xdr:colOff>
      <xdr:row>24</xdr:row>
      <xdr:rowOff>17591</xdr:rowOff>
    </xdr:from>
    <xdr:to>
      <xdr:col>7</xdr:col>
      <xdr:colOff>491923</xdr:colOff>
      <xdr:row>25</xdr:row>
      <xdr:rowOff>71891</xdr:rowOff>
    </xdr:to>
    <xdr:sp macro="" textlink="">
      <xdr:nvSpPr>
        <xdr:cNvPr id="43" name="Rechteck 42">
          <a:extLst>
            <a:ext uri="{FF2B5EF4-FFF2-40B4-BE49-F238E27FC236}">
              <a16:creationId xmlns:a16="http://schemas.microsoft.com/office/drawing/2014/main" id="{A10486F5-4EFE-4C04-8ABC-D569854814AC}"/>
            </a:ext>
          </a:extLst>
        </xdr:cNvPr>
        <xdr:cNvSpPr/>
      </xdr:nvSpPr>
      <xdr:spPr>
        <a:xfrm>
          <a:off x="8102046" y="4646741"/>
          <a:ext cx="524227" cy="244800"/>
        </a:xfrm>
        <a:prstGeom prst="rect">
          <a:avLst/>
        </a:prstGeom>
        <a:solidFill>
          <a:srgbClr val="95B3D7"/>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algn="ctr"/>
          <a:r>
            <a:rPr lang="de-AT" sz="1000">
              <a:solidFill>
                <a:schemeClr val="bg1"/>
              </a:solidFill>
              <a:latin typeface="PP Pangram Sans Semibold" panose="00000705000000000000" pitchFamily="2" charset="0"/>
            </a:rPr>
            <a:t>ITC</a:t>
          </a:r>
        </a:p>
      </xdr:txBody>
    </xdr:sp>
    <xdr:clientData/>
  </xdr:twoCellAnchor>
  <xdr:twoCellAnchor>
    <xdr:from>
      <xdr:col>4</xdr:col>
      <xdr:colOff>238125</xdr:colOff>
      <xdr:row>24</xdr:row>
      <xdr:rowOff>25211</xdr:rowOff>
    </xdr:from>
    <xdr:to>
      <xdr:col>5</xdr:col>
      <xdr:colOff>802534</xdr:colOff>
      <xdr:row>25</xdr:row>
      <xdr:rowOff>79511</xdr:rowOff>
    </xdr:to>
    <xdr:sp macro="" textlink="">
      <xdr:nvSpPr>
        <xdr:cNvPr id="44" name="Rechteck 43">
          <a:extLst>
            <a:ext uri="{FF2B5EF4-FFF2-40B4-BE49-F238E27FC236}">
              <a16:creationId xmlns:a16="http://schemas.microsoft.com/office/drawing/2014/main" id="{88460546-9C41-4197-ACF3-2EA40B723CCA}"/>
            </a:ext>
          </a:extLst>
        </xdr:cNvPr>
        <xdr:cNvSpPr/>
      </xdr:nvSpPr>
      <xdr:spPr>
        <a:xfrm>
          <a:off x="5086350" y="4654361"/>
          <a:ext cx="1802659" cy="244800"/>
        </a:xfrm>
        <a:prstGeom prst="rect">
          <a:avLst/>
        </a:prstGeom>
        <a:no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algn="r"/>
          <a:r>
            <a:rPr lang="de-AT" sz="1000" i="1">
              <a:solidFill>
                <a:schemeClr val="bg1">
                  <a:lumMod val="50000"/>
                </a:schemeClr>
              </a:solidFill>
              <a:latin typeface="PP Pangram Sans Medium" panose="00000605000000000000" pitchFamily="2" charset="0"/>
            </a:rPr>
            <a:t>[mio. EUR]</a:t>
          </a:r>
        </a:p>
      </xdr:txBody>
    </xdr:sp>
    <xdr:clientData/>
  </xdr:twoCellAnchor>
  <xdr:twoCellAnchor>
    <xdr:from>
      <xdr:col>7</xdr:col>
      <xdr:colOff>743471</xdr:colOff>
      <xdr:row>29</xdr:row>
      <xdr:rowOff>50537</xdr:rowOff>
    </xdr:from>
    <xdr:to>
      <xdr:col>8</xdr:col>
      <xdr:colOff>363806</xdr:colOff>
      <xdr:row>30</xdr:row>
      <xdr:rowOff>104837</xdr:rowOff>
    </xdr:to>
    <xdr:sp macro="" textlink="$AF$40">
      <xdr:nvSpPr>
        <xdr:cNvPr id="45" name="Rechteck 44">
          <a:extLst>
            <a:ext uri="{FF2B5EF4-FFF2-40B4-BE49-F238E27FC236}">
              <a16:creationId xmlns:a16="http://schemas.microsoft.com/office/drawing/2014/main" id="{5195FAE7-47AE-45BB-87EB-2F02B0F8D29E}"/>
            </a:ext>
          </a:extLst>
        </xdr:cNvPr>
        <xdr:cNvSpPr/>
      </xdr:nvSpPr>
      <xdr:spPr>
        <a:xfrm>
          <a:off x="8877821" y="5632187"/>
          <a:ext cx="525210" cy="244800"/>
        </a:xfrm>
        <a:prstGeom prst="rect">
          <a:avLst/>
        </a:prstGeom>
        <a:solidFill>
          <a:schemeClr val="bg1">
            <a:lumMod val="85000"/>
          </a:schemeClr>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marL="0" indent="0" algn="ctr" defTabSz="144000" rtl="0" eaLnBrk="1" latinLnBrk="0" hangingPunct="1"/>
          <a:fld id="{2746DB31-E0D4-43A9-B5C4-FF33F3D361BF}" type="TxLink">
            <a:rPr lang="en-US" sz="1100" b="0" i="0" u="none" strike="noStrike" kern="1200">
              <a:solidFill>
                <a:schemeClr val="bg1">
                  <a:lumMod val="50000"/>
                </a:schemeClr>
              </a:solidFill>
              <a:latin typeface="Calibri"/>
              <a:ea typeface="Calibri"/>
              <a:cs typeface="Calibri"/>
            </a:rPr>
            <a:pPr marL="0" indent="0" algn="ctr" defTabSz="144000" rtl="0" eaLnBrk="1" latinLnBrk="0" hangingPunct="1"/>
            <a:t>3,5</a:t>
          </a:fld>
          <a:endParaRPr lang="de-AT" sz="1100" b="0" i="0" u="none" strike="noStrike" kern="1200">
            <a:solidFill>
              <a:schemeClr val="bg1">
                <a:lumMod val="50000"/>
              </a:schemeClr>
            </a:solidFill>
            <a:latin typeface="Calibri"/>
            <a:ea typeface="Calibri"/>
            <a:cs typeface="Calibri"/>
          </a:endParaRPr>
        </a:p>
      </xdr:txBody>
    </xdr:sp>
    <xdr:clientData/>
  </xdr:twoCellAnchor>
  <xdr:twoCellAnchor>
    <xdr:from>
      <xdr:col>7</xdr:col>
      <xdr:colOff>743471</xdr:colOff>
      <xdr:row>25</xdr:row>
      <xdr:rowOff>111494</xdr:rowOff>
    </xdr:from>
    <xdr:to>
      <xdr:col>8</xdr:col>
      <xdr:colOff>363806</xdr:colOff>
      <xdr:row>26</xdr:row>
      <xdr:rowOff>165794</xdr:rowOff>
    </xdr:to>
    <xdr:sp macro="" textlink="$AF$34">
      <xdr:nvSpPr>
        <xdr:cNvPr id="46" name="Rechteck 45">
          <a:extLst>
            <a:ext uri="{FF2B5EF4-FFF2-40B4-BE49-F238E27FC236}">
              <a16:creationId xmlns:a16="http://schemas.microsoft.com/office/drawing/2014/main" id="{433207D3-51D0-4BC3-A5FF-3F57E12754FF}"/>
            </a:ext>
          </a:extLst>
        </xdr:cNvPr>
        <xdr:cNvSpPr/>
      </xdr:nvSpPr>
      <xdr:spPr>
        <a:xfrm>
          <a:off x="8877821" y="4931144"/>
          <a:ext cx="525210" cy="244800"/>
        </a:xfrm>
        <a:prstGeom prst="rect">
          <a:avLst/>
        </a:prstGeom>
        <a:solidFill>
          <a:schemeClr val="bg1">
            <a:lumMod val="85000"/>
          </a:schemeClr>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marL="0" indent="0" algn="ctr" defTabSz="144000" rtl="0" eaLnBrk="1" latinLnBrk="0" hangingPunct="1"/>
          <a:fld id="{91AD846E-C77A-42EF-96E3-9C5828A85D81}" type="TxLink">
            <a:rPr lang="en-US" sz="1100" b="0" i="0" u="none" strike="noStrike" kern="1200">
              <a:solidFill>
                <a:schemeClr val="bg1">
                  <a:lumMod val="50000"/>
                </a:schemeClr>
              </a:solidFill>
              <a:latin typeface="Calibri"/>
              <a:ea typeface="+mn-ea"/>
              <a:cs typeface="Calibri"/>
            </a:rPr>
            <a:pPr marL="0" indent="0" algn="ctr" defTabSz="144000" rtl="0" eaLnBrk="1" latinLnBrk="0" hangingPunct="1"/>
            <a:t>5,5</a:t>
          </a:fld>
          <a:endParaRPr lang="de-AT" sz="1100" b="0" i="0" u="none" strike="noStrike" kern="1200">
            <a:solidFill>
              <a:schemeClr val="bg1">
                <a:lumMod val="50000"/>
              </a:schemeClr>
            </a:solidFill>
            <a:latin typeface="Calibri"/>
            <a:ea typeface="+mn-ea"/>
            <a:cs typeface="Calibri"/>
          </a:endParaRPr>
        </a:p>
      </xdr:txBody>
    </xdr:sp>
    <xdr:clientData/>
  </xdr:twoCellAnchor>
  <xdr:twoCellAnchor>
    <xdr:from>
      <xdr:col>7</xdr:col>
      <xdr:colOff>739661</xdr:colOff>
      <xdr:row>31</xdr:row>
      <xdr:rowOff>174905</xdr:rowOff>
    </xdr:from>
    <xdr:to>
      <xdr:col>8</xdr:col>
      <xdr:colOff>359996</xdr:colOff>
      <xdr:row>33</xdr:row>
      <xdr:rowOff>27499</xdr:rowOff>
    </xdr:to>
    <xdr:sp macro="" textlink="$AF$42">
      <xdr:nvSpPr>
        <xdr:cNvPr id="47" name="Rechteck 46">
          <a:extLst>
            <a:ext uri="{FF2B5EF4-FFF2-40B4-BE49-F238E27FC236}">
              <a16:creationId xmlns:a16="http://schemas.microsoft.com/office/drawing/2014/main" id="{8439BE2A-856C-4914-9759-54AD102AE3F1}"/>
            </a:ext>
          </a:extLst>
        </xdr:cNvPr>
        <xdr:cNvSpPr/>
      </xdr:nvSpPr>
      <xdr:spPr>
        <a:xfrm>
          <a:off x="8874011" y="6137555"/>
          <a:ext cx="525210" cy="243119"/>
        </a:xfrm>
        <a:prstGeom prst="rect">
          <a:avLst/>
        </a:prstGeom>
        <a:solidFill>
          <a:srgbClr val="FE6D73"/>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marL="0" indent="0" algn="ctr" defTabSz="144000" rtl="0" eaLnBrk="1" latinLnBrk="0" hangingPunct="1"/>
          <a:fld id="{799811BD-34C3-46CD-BA65-563EBE8A9CA1}" type="TxLink">
            <a:rPr lang="en-US" sz="1100" b="1" i="0" u="none" strike="noStrike" kern="1200">
              <a:solidFill>
                <a:schemeClr val="bg1"/>
              </a:solidFill>
              <a:latin typeface="Calibri"/>
              <a:ea typeface="Calibri"/>
              <a:cs typeface="Calibri"/>
            </a:rPr>
            <a:pPr marL="0" indent="0" algn="ctr" defTabSz="144000" rtl="0" eaLnBrk="1" latinLnBrk="0" hangingPunct="1"/>
            <a:t>5,5</a:t>
          </a:fld>
          <a:endParaRPr lang="de-AT" sz="1100" b="1" i="0" u="none" strike="noStrike" kern="1200">
            <a:solidFill>
              <a:schemeClr val="bg1"/>
            </a:solidFill>
            <a:latin typeface="Calibri"/>
            <a:ea typeface="Calibri"/>
            <a:cs typeface="Calibri"/>
          </a:endParaRPr>
        </a:p>
      </xdr:txBody>
    </xdr:sp>
    <xdr:clientData/>
  </xdr:twoCellAnchor>
  <xdr:twoCellAnchor>
    <xdr:from>
      <xdr:col>7</xdr:col>
      <xdr:colOff>739661</xdr:colOff>
      <xdr:row>24</xdr:row>
      <xdr:rowOff>17591</xdr:rowOff>
    </xdr:from>
    <xdr:to>
      <xdr:col>8</xdr:col>
      <xdr:colOff>359996</xdr:colOff>
      <xdr:row>25</xdr:row>
      <xdr:rowOff>71891</xdr:rowOff>
    </xdr:to>
    <xdr:sp macro="" textlink="">
      <xdr:nvSpPr>
        <xdr:cNvPr id="48" name="Rechteck 47">
          <a:extLst>
            <a:ext uri="{FF2B5EF4-FFF2-40B4-BE49-F238E27FC236}">
              <a16:creationId xmlns:a16="http://schemas.microsoft.com/office/drawing/2014/main" id="{A2DD9A88-D488-4299-A60D-6016EDBC097F}"/>
            </a:ext>
          </a:extLst>
        </xdr:cNvPr>
        <xdr:cNvSpPr/>
      </xdr:nvSpPr>
      <xdr:spPr>
        <a:xfrm>
          <a:off x="8874011" y="4646741"/>
          <a:ext cx="525210" cy="244800"/>
        </a:xfrm>
        <a:prstGeom prst="rect">
          <a:avLst/>
        </a:prstGeom>
        <a:solidFill>
          <a:srgbClr val="0A4669"/>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algn="ctr"/>
          <a:r>
            <a:rPr lang="de-AT" sz="1000">
              <a:solidFill>
                <a:schemeClr val="bg1"/>
              </a:solidFill>
              <a:latin typeface="PP Pangram Sans Semibold" panose="00000705000000000000" pitchFamily="2" charset="0"/>
            </a:rPr>
            <a:t>TAG</a:t>
          </a:r>
        </a:p>
      </xdr:txBody>
    </xdr:sp>
    <xdr:clientData/>
  </xdr:twoCellAnchor>
  <xdr:twoCellAnchor>
    <xdr:from>
      <xdr:col>4</xdr:col>
      <xdr:colOff>247650</xdr:colOff>
      <xdr:row>35</xdr:row>
      <xdr:rowOff>96159</xdr:rowOff>
    </xdr:from>
    <xdr:to>
      <xdr:col>5</xdr:col>
      <xdr:colOff>282879</xdr:colOff>
      <xdr:row>36</xdr:row>
      <xdr:rowOff>150459</xdr:rowOff>
    </xdr:to>
    <xdr:sp macro="" textlink="">
      <xdr:nvSpPr>
        <xdr:cNvPr id="49" name="Rechteck 48">
          <a:extLst>
            <a:ext uri="{FF2B5EF4-FFF2-40B4-BE49-F238E27FC236}">
              <a16:creationId xmlns:a16="http://schemas.microsoft.com/office/drawing/2014/main" id="{C3F93DDA-E644-490C-ACAE-87A964361111}"/>
            </a:ext>
          </a:extLst>
        </xdr:cNvPr>
        <xdr:cNvSpPr/>
      </xdr:nvSpPr>
      <xdr:spPr>
        <a:xfrm>
          <a:off x="5095875" y="6830334"/>
          <a:ext cx="1273479" cy="244800"/>
        </a:xfrm>
        <a:prstGeom prst="rect">
          <a:avLst/>
        </a:prstGeom>
        <a:solidFill>
          <a:srgbClr val="0A4669"/>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r>
            <a:rPr lang="de-AT" sz="1000" kern="1200">
              <a:solidFill>
                <a:schemeClr val="bg1"/>
              </a:solidFill>
              <a:latin typeface="PP Pangram Sans Semibold" panose="00000705000000000000" pitchFamily="2" charset="0"/>
              <a:ea typeface="+mn-ea"/>
              <a:cs typeface="+mn-cs"/>
            </a:rPr>
            <a:t>Com</a:t>
          </a:r>
          <a:r>
            <a:rPr lang="de-AT" sz="1000">
              <a:solidFill>
                <a:schemeClr val="bg1"/>
              </a:solidFill>
              <a:latin typeface="PP Pangram Sans Semibold" panose="00000705000000000000" pitchFamily="2" charset="0"/>
            </a:rPr>
            <a:t>. E/X split</a:t>
          </a:r>
        </a:p>
      </xdr:txBody>
    </xdr:sp>
    <xdr:clientData/>
  </xdr:twoCellAnchor>
  <xdr:twoCellAnchor>
    <xdr:from>
      <xdr:col>5</xdr:col>
      <xdr:colOff>339587</xdr:colOff>
      <xdr:row>35</xdr:row>
      <xdr:rowOff>96159</xdr:rowOff>
    </xdr:from>
    <xdr:to>
      <xdr:col>5</xdr:col>
      <xdr:colOff>892105</xdr:colOff>
      <xdr:row>36</xdr:row>
      <xdr:rowOff>150459</xdr:rowOff>
    </xdr:to>
    <xdr:sp macro="" textlink="$C$28">
      <xdr:nvSpPr>
        <xdr:cNvPr id="50" name="Rechteck 49">
          <a:extLst>
            <a:ext uri="{FF2B5EF4-FFF2-40B4-BE49-F238E27FC236}">
              <a16:creationId xmlns:a16="http://schemas.microsoft.com/office/drawing/2014/main" id="{D414F546-AFBD-4230-8BBB-6F107224D75E}"/>
            </a:ext>
          </a:extLst>
        </xdr:cNvPr>
        <xdr:cNvSpPr/>
      </xdr:nvSpPr>
      <xdr:spPr>
        <a:xfrm>
          <a:off x="6426062" y="6830334"/>
          <a:ext cx="552518" cy="244800"/>
        </a:xfrm>
        <a:prstGeom prst="rect">
          <a:avLst/>
        </a:prstGeom>
        <a:solidFill>
          <a:srgbClr val="0A4669"/>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marL="0" indent="0" algn="ctr" defTabSz="144000" rtl="0" eaLnBrk="1" latinLnBrk="0" hangingPunct="1"/>
          <a:fld id="{52CA7CA1-FDD1-41AC-B23A-0A424A2D2EA3}" type="TxLink">
            <a:rPr lang="en-US" sz="1100" b="1" i="0" u="none" strike="noStrike" kern="1200">
              <a:solidFill>
                <a:schemeClr val="bg1"/>
              </a:solidFill>
              <a:latin typeface="Calibri"/>
              <a:ea typeface="Calibri"/>
              <a:cs typeface="Calibri"/>
            </a:rPr>
            <a:pPr marL="0" indent="0" algn="ctr" defTabSz="144000" rtl="0" eaLnBrk="1" latinLnBrk="0" hangingPunct="1"/>
            <a:t>25,0%</a:t>
          </a:fld>
          <a:endParaRPr lang="de-AT" sz="1100" b="1" i="0" u="none" strike="noStrike" kern="1200">
            <a:solidFill>
              <a:schemeClr val="bg1"/>
            </a:solidFill>
            <a:latin typeface="Calibri"/>
            <a:ea typeface="Calibri"/>
            <a:cs typeface="Calibri"/>
          </a:endParaRPr>
        </a:p>
      </xdr:txBody>
    </xdr:sp>
    <xdr:clientData/>
  </xdr:twoCellAnchor>
  <xdr:twoCellAnchor>
    <xdr:from>
      <xdr:col>6</xdr:col>
      <xdr:colOff>262842</xdr:colOff>
      <xdr:row>35</xdr:row>
      <xdr:rowOff>96159</xdr:rowOff>
    </xdr:from>
    <xdr:to>
      <xdr:col>7</xdr:col>
      <xdr:colOff>679360</xdr:colOff>
      <xdr:row>36</xdr:row>
      <xdr:rowOff>150459</xdr:rowOff>
    </xdr:to>
    <xdr:sp macro="" textlink="">
      <xdr:nvSpPr>
        <xdr:cNvPr id="51" name="Rechteck 50">
          <a:extLst>
            <a:ext uri="{FF2B5EF4-FFF2-40B4-BE49-F238E27FC236}">
              <a16:creationId xmlns:a16="http://schemas.microsoft.com/office/drawing/2014/main" id="{10232EB6-7419-432E-AD44-6857C1F84101}"/>
            </a:ext>
          </a:extLst>
        </xdr:cNvPr>
        <xdr:cNvSpPr/>
      </xdr:nvSpPr>
      <xdr:spPr>
        <a:xfrm>
          <a:off x="7558992" y="6830334"/>
          <a:ext cx="1254718" cy="244800"/>
        </a:xfrm>
        <a:prstGeom prst="rect">
          <a:avLst/>
        </a:prstGeom>
        <a:solidFill>
          <a:srgbClr val="0A4669"/>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r>
            <a:rPr lang="de-AT" sz="1000">
              <a:solidFill>
                <a:schemeClr val="bg1"/>
              </a:solidFill>
              <a:latin typeface="PP Pangram Sans Semibold" panose="00000705000000000000" pitchFamily="2" charset="0"/>
            </a:rPr>
            <a:t>CAA commodity</a:t>
          </a:r>
        </a:p>
      </xdr:txBody>
    </xdr:sp>
    <xdr:clientData/>
  </xdr:twoCellAnchor>
  <xdr:twoCellAnchor>
    <xdr:from>
      <xdr:col>7</xdr:col>
      <xdr:colOff>723111</xdr:colOff>
      <xdr:row>35</xdr:row>
      <xdr:rowOff>96159</xdr:rowOff>
    </xdr:from>
    <xdr:to>
      <xdr:col>8</xdr:col>
      <xdr:colOff>359996</xdr:colOff>
      <xdr:row>36</xdr:row>
      <xdr:rowOff>150459</xdr:rowOff>
    </xdr:to>
    <xdr:sp macro="" textlink="$C$25">
      <xdr:nvSpPr>
        <xdr:cNvPr id="52" name="Rechteck 51">
          <a:extLst>
            <a:ext uri="{FF2B5EF4-FFF2-40B4-BE49-F238E27FC236}">
              <a16:creationId xmlns:a16="http://schemas.microsoft.com/office/drawing/2014/main" id="{6E7996FF-6123-41DD-8EC2-25A6B5524AD5}"/>
            </a:ext>
          </a:extLst>
        </xdr:cNvPr>
        <xdr:cNvSpPr/>
      </xdr:nvSpPr>
      <xdr:spPr>
        <a:xfrm>
          <a:off x="8857461" y="6830334"/>
          <a:ext cx="541760" cy="244800"/>
        </a:xfrm>
        <a:prstGeom prst="rect">
          <a:avLst/>
        </a:prstGeom>
        <a:solidFill>
          <a:srgbClr val="0A4669"/>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marL="0" indent="0" algn="ctr" defTabSz="144000" rtl="0" eaLnBrk="1" latinLnBrk="0" hangingPunct="1"/>
          <a:fld id="{1507DC54-7C16-4241-82E5-5C2DF5A8511E}" type="TxLink">
            <a:rPr lang="en-US" sz="1100" b="1" i="0" u="none" strike="noStrike" kern="1200">
              <a:solidFill>
                <a:schemeClr val="bg1"/>
              </a:solidFill>
              <a:latin typeface="Calibri"/>
              <a:ea typeface="Calibri"/>
              <a:cs typeface="Calibri"/>
            </a:rPr>
            <a:pPr marL="0" indent="0" algn="ctr" defTabSz="144000" rtl="0" eaLnBrk="1" latinLnBrk="0" hangingPunct="1"/>
            <a:t>11,53%</a:t>
          </a:fld>
          <a:endParaRPr lang="de-AT" sz="1100" b="1" i="0" u="none" strike="noStrike" kern="1200">
            <a:solidFill>
              <a:schemeClr val="bg1"/>
            </a:solidFill>
            <a:latin typeface="Calibri"/>
            <a:ea typeface="Calibri"/>
            <a:cs typeface="Calibri"/>
          </a:endParaRPr>
        </a:p>
      </xdr:txBody>
    </xdr:sp>
    <xdr:clientData/>
  </xdr:twoCellAnchor>
  <xdr:twoCellAnchor>
    <xdr:from>
      <xdr:col>4</xdr:col>
      <xdr:colOff>243840</xdr:colOff>
      <xdr:row>27</xdr:row>
      <xdr:rowOff>21997</xdr:rowOff>
    </xdr:from>
    <xdr:to>
      <xdr:col>5</xdr:col>
      <xdr:colOff>893490</xdr:colOff>
      <xdr:row>28</xdr:row>
      <xdr:rowOff>76297</xdr:rowOff>
    </xdr:to>
    <xdr:sp macro="" textlink="">
      <xdr:nvSpPr>
        <xdr:cNvPr id="53" name="Rechteck 52">
          <a:extLst>
            <a:ext uri="{FF2B5EF4-FFF2-40B4-BE49-F238E27FC236}">
              <a16:creationId xmlns:a16="http://schemas.microsoft.com/office/drawing/2014/main" id="{09608BCA-18C6-4EF2-AC65-D4286D4A9669}"/>
            </a:ext>
          </a:extLst>
        </xdr:cNvPr>
        <xdr:cNvSpPr/>
      </xdr:nvSpPr>
      <xdr:spPr>
        <a:xfrm>
          <a:off x="5092065" y="5222647"/>
          <a:ext cx="1887900" cy="244800"/>
        </a:xfrm>
        <a:prstGeom prst="rect">
          <a:avLst/>
        </a:prstGeom>
        <a:solidFill>
          <a:srgbClr val="0A4669"/>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r>
            <a:rPr lang="de-AT" sz="1000">
              <a:solidFill>
                <a:schemeClr val="bg1"/>
              </a:solidFill>
              <a:latin typeface="PP Pangram Sans Semibold" panose="00000705000000000000" pitchFamily="2" charset="0"/>
            </a:rPr>
            <a:t>Planned commodity rev.</a:t>
          </a:r>
        </a:p>
      </xdr:txBody>
    </xdr:sp>
    <xdr:clientData/>
  </xdr:twoCellAnchor>
  <xdr:twoCellAnchor>
    <xdr:from>
      <xdr:col>6</xdr:col>
      <xdr:colOff>22876</xdr:colOff>
      <xdr:row>27</xdr:row>
      <xdr:rowOff>21997</xdr:rowOff>
    </xdr:from>
    <xdr:to>
      <xdr:col>6</xdr:col>
      <xdr:colOff>558157</xdr:colOff>
      <xdr:row>28</xdr:row>
      <xdr:rowOff>76297</xdr:rowOff>
    </xdr:to>
    <xdr:sp macro="" textlink="$AF$35">
      <xdr:nvSpPr>
        <xdr:cNvPr id="54" name="Rechteck 53">
          <a:extLst>
            <a:ext uri="{FF2B5EF4-FFF2-40B4-BE49-F238E27FC236}">
              <a16:creationId xmlns:a16="http://schemas.microsoft.com/office/drawing/2014/main" id="{1C7C4DAD-1EBC-4351-B1A6-C68B49FF6C54}"/>
            </a:ext>
          </a:extLst>
        </xdr:cNvPr>
        <xdr:cNvSpPr/>
      </xdr:nvSpPr>
      <xdr:spPr>
        <a:xfrm>
          <a:off x="7319026" y="5222647"/>
          <a:ext cx="535281" cy="244800"/>
        </a:xfrm>
        <a:prstGeom prst="rect">
          <a:avLst/>
        </a:prstGeom>
        <a:solidFill>
          <a:schemeClr val="bg1">
            <a:lumMod val="85000"/>
          </a:schemeClr>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marL="0" indent="0" algn="ctr" defTabSz="144000" rtl="0" eaLnBrk="1" latinLnBrk="0" hangingPunct="1"/>
          <a:fld id="{7BED94B2-B65F-49FD-B090-812BE21A3CAA}" type="TxLink">
            <a:rPr lang="en-US" sz="1100" b="0" i="0" u="none" strike="noStrike">
              <a:solidFill>
                <a:schemeClr val="bg1">
                  <a:lumMod val="50000"/>
                </a:schemeClr>
              </a:solidFill>
              <a:latin typeface="Calibri"/>
              <a:ea typeface="+mn-ea"/>
              <a:cs typeface="Calibri"/>
            </a:rPr>
            <a:pPr marL="0" indent="0" algn="ctr" defTabSz="144000" rtl="0" eaLnBrk="1" latinLnBrk="0" hangingPunct="1"/>
            <a:t>17,7</a:t>
          </a:fld>
          <a:endParaRPr lang="de-AT" sz="1100" b="0" i="0" u="none" strike="noStrike">
            <a:solidFill>
              <a:schemeClr val="bg1">
                <a:lumMod val="50000"/>
              </a:schemeClr>
            </a:solidFill>
            <a:latin typeface="Calibri"/>
            <a:ea typeface="+mn-ea"/>
            <a:cs typeface="Calibri"/>
          </a:endParaRPr>
        </a:p>
      </xdr:txBody>
    </xdr:sp>
    <xdr:clientData/>
  </xdr:twoCellAnchor>
  <xdr:twoCellAnchor>
    <xdr:from>
      <xdr:col>6</xdr:col>
      <xdr:colOff>809706</xdr:colOff>
      <xdr:row>27</xdr:row>
      <xdr:rowOff>21997</xdr:rowOff>
    </xdr:from>
    <xdr:to>
      <xdr:col>7</xdr:col>
      <xdr:colOff>488113</xdr:colOff>
      <xdr:row>28</xdr:row>
      <xdr:rowOff>76297</xdr:rowOff>
    </xdr:to>
    <xdr:sp macro="" textlink="$AF$37">
      <xdr:nvSpPr>
        <xdr:cNvPr id="55" name="Rechteck 54">
          <a:extLst>
            <a:ext uri="{FF2B5EF4-FFF2-40B4-BE49-F238E27FC236}">
              <a16:creationId xmlns:a16="http://schemas.microsoft.com/office/drawing/2014/main" id="{6AD9CA9F-3C58-4BA6-98F6-F292A61661BB}"/>
            </a:ext>
          </a:extLst>
        </xdr:cNvPr>
        <xdr:cNvSpPr/>
      </xdr:nvSpPr>
      <xdr:spPr>
        <a:xfrm>
          <a:off x="8105856" y="5222647"/>
          <a:ext cx="516607" cy="244800"/>
        </a:xfrm>
        <a:prstGeom prst="rect">
          <a:avLst/>
        </a:prstGeom>
        <a:solidFill>
          <a:srgbClr val="DCE6F2"/>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marL="0" indent="0" algn="ctr" defTabSz="144000" rtl="0" eaLnBrk="1" latinLnBrk="0" hangingPunct="1"/>
          <a:fld id="{04804986-71FB-4BC8-BADF-151023138F81}" type="TxLink">
            <a:rPr lang="en-US" sz="1100" b="0" i="0" u="none" strike="noStrike" kern="1200">
              <a:solidFill>
                <a:schemeClr val="bg1">
                  <a:lumMod val="50000"/>
                </a:schemeClr>
              </a:solidFill>
              <a:latin typeface="Calibri"/>
              <a:ea typeface="Calibri"/>
              <a:cs typeface="Calibri"/>
            </a:rPr>
            <a:pPr marL="0" indent="0" algn="ctr" defTabSz="144000" rtl="0" eaLnBrk="1" latinLnBrk="0" hangingPunct="1"/>
            <a:t>2,0</a:t>
          </a:fld>
          <a:endParaRPr lang="de-AT" sz="1100" b="0" i="0" u="none" strike="noStrike" kern="1200">
            <a:solidFill>
              <a:schemeClr val="bg1">
                <a:lumMod val="50000"/>
              </a:schemeClr>
            </a:solidFill>
            <a:latin typeface="Calibri"/>
            <a:ea typeface="Calibri"/>
            <a:cs typeface="Calibri"/>
          </a:endParaRPr>
        </a:p>
      </xdr:txBody>
    </xdr:sp>
    <xdr:clientData/>
  </xdr:twoCellAnchor>
  <xdr:twoCellAnchor>
    <xdr:from>
      <xdr:col>7</xdr:col>
      <xdr:colOff>739661</xdr:colOff>
      <xdr:row>27</xdr:row>
      <xdr:rowOff>21997</xdr:rowOff>
    </xdr:from>
    <xdr:to>
      <xdr:col>8</xdr:col>
      <xdr:colOff>359996</xdr:colOff>
      <xdr:row>28</xdr:row>
      <xdr:rowOff>76297</xdr:rowOff>
    </xdr:to>
    <xdr:sp macro="" textlink="$AF$36">
      <xdr:nvSpPr>
        <xdr:cNvPr id="56" name="Rechteck 55">
          <a:extLst>
            <a:ext uri="{FF2B5EF4-FFF2-40B4-BE49-F238E27FC236}">
              <a16:creationId xmlns:a16="http://schemas.microsoft.com/office/drawing/2014/main" id="{B3463CFD-E824-4F62-98F0-CC7056D0290D}"/>
            </a:ext>
          </a:extLst>
        </xdr:cNvPr>
        <xdr:cNvSpPr/>
      </xdr:nvSpPr>
      <xdr:spPr>
        <a:xfrm>
          <a:off x="8874011" y="5222647"/>
          <a:ext cx="525210" cy="244800"/>
        </a:xfrm>
        <a:prstGeom prst="rect">
          <a:avLst/>
        </a:prstGeom>
        <a:solidFill>
          <a:schemeClr val="bg1">
            <a:lumMod val="85000"/>
          </a:schemeClr>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marL="0" indent="0" algn="ctr" defTabSz="144000" rtl="0" eaLnBrk="1" latinLnBrk="0" hangingPunct="1"/>
          <a:fld id="{612A8D8E-83ED-4AB7-AC95-B2B1A270A8FB}" type="TxLink">
            <a:rPr lang="en-US" sz="1100" b="0" i="0" u="none" strike="noStrike" kern="1200">
              <a:solidFill>
                <a:schemeClr val="bg1">
                  <a:lumMod val="50000"/>
                </a:schemeClr>
              </a:solidFill>
              <a:latin typeface="Calibri"/>
              <a:ea typeface="+mn-ea"/>
              <a:cs typeface="Calibri"/>
            </a:rPr>
            <a:pPr marL="0" indent="0" algn="ctr" defTabSz="144000" rtl="0" eaLnBrk="1" latinLnBrk="0" hangingPunct="1"/>
            <a:t>3,5</a:t>
          </a:fld>
          <a:endParaRPr lang="de-AT" sz="1100" b="0" i="0" u="none" strike="noStrike" kern="1200">
            <a:solidFill>
              <a:schemeClr val="bg1">
                <a:lumMod val="50000"/>
              </a:schemeClr>
            </a:solidFill>
            <a:latin typeface="Calibri"/>
            <a:ea typeface="+mn-ea"/>
            <a:cs typeface="Calibri"/>
          </a:endParaRPr>
        </a:p>
      </xdr:txBody>
    </xdr:sp>
    <xdr:clientData/>
  </xdr:twoCellAnchor>
  <xdr:twoCellAnchor>
    <xdr:from>
      <xdr:col>6</xdr:col>
      <xdr:colOff>556252</xdr:colOff>
      <xdr:row>26</xdr:row>
      <xdr:rowOff>43394</xdr:rowOff>
    </xdr:from>
    <xdr:to>
      <xdr:col>7</xdr:col>
      <xdr:colOff>223086</xdr:colOff>
      <xdr:row>27</xdr:row>
      <xdr:rowOff>21997</xdr:rowOff>
    </xdr:to>
    <xdr:cxnSp macro="">
      <xdr:nvCxnSpPr>
        <xdr:cNvPr id="57" name="Verbinder: gewinkelt 56">
          <a:extLst>
            <a:ext uri="{FF2B5EF4-FFF2-40B4-BE49-F238E27FC236}">
              <a16:creationId xmlns:a16="http://schemas.microsoft.com/office/drawing/2014/main" id="{5A043DBB-F31B-462E-B4BA-B449F1E26CA6}"/>
            </a:ext>
          </a:extLst>
        </xdr:cNvPr>
        <xdr:cNvCxnSpPr>
          <a:stCxn id="38" idx="3"/>
          <a:endCxn id="55" idx="0"/>
        </xdr:cNvCxnSpPr>
      </xdr:nvCxnSpPr>
      <xdr:spPr>
        <a:xfrm>
          <a:off x="7852402" y="5053544"/>
          <a:ext cx="505034" cy="169103"/>
        </a:xfrm>
        <a:prstGeom prst="bentConnector2">
          <a:avLst/>
        </a:prstGeom>
        <a:ln>
          <a:solidFill>
            <a:schemeClr val="bg1">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223087</xdr:colOff>
      <xdr:row>26</xdr:row>
      <xdr:rowOff>43393</xdr:rowOff>
    </xdr:from>
    <xdr:to>
      <xdr:col>7</xdr:col>
      <xdr:colOff>743472</xdr:colOff>
      <xdr:row>27</xdr:row>
      <xdr:rowOff>21996</xdr:rowOff>
    </xdr:to>
    <xdr:cxnSp macro="">
      <xdr:nvCxnSpPr>
        <xdr:cNvPr id="58" name="Verbinder: gewinkelt 57">
          <a:extLst>
            <a:ext uri="{FF2B5EF4-FFF2-40B4-BE49-F238E27FC236}">
              <a16:creationId xmlns:a16="http://schemas.microsoft.com/office/drawing/2014/main" id="{4979A163-872E-4167-8045-B5C6411ECEDC}"/>
            </a:ext>
          </a:extLst>
        </xdr:cNvPr>
        <xdr:cNvCxnSpPr>
          <a:stCxn id="46" idx="1"/>
          <a:endCxn id="55" idx="0"/>
        </xdr:cNvCxnSpPr>
      </xdr:nvCxnSpPr>
      <xdr:spPr>
        <a:xfrm rot="10800000" flipV="1">
          <a:off x="8357437" y="5053543"/>
          <a:ext cx="520385" cy="169103"/>
        </a:xfrm>
        <a:prstGeom prst="bentConnector2">
          <a:avLst/>
        </a:prstGeom>
        <a:ln>
          <a:solidFill>
            <a:schemeClr val="bg1">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243840</xdr:colOff>
      <xdr:row>33</xdr:row>
      <xdr:rowOff>78441</xdr:rowOff>
    </xdr:from>
    <xdr:to>
      <xdr:col>5</xdr:col>
      <xdr:colOff>891540</xdr:colOff>
      <xdr:row>34</xdr:row>
      <xdr:rowOff>132741</xdr:rowOff>
    </xdr:to>
    <xdr:sp macro="" textlink="">
      <xdr:nvSpPr>
        <xdr:cNvPr id="59" name="Rechteck 58">
          <a:extLst>
            <a:ext uri="{FF2B5EF4-FFF2-40B4-BE49-F238E27FC236}">
              <a16:creationId xmlns:a16="http://schemas.microsoft.com/office/drawing/2014/main" id="{97F1E517-B18D-4587-ACF7-1929562D2FD8}"/>
            </a:ext>
          </a:extLst>
        </xdr:cNvPr>
        <xdr:cNvSpPr/>
      </xdr:nvSpPr>
      <xdr:spPr>
        <a:xfrm>
          <a:off x="5092065" y="6431616"/>
          <a:ext cx="1885950" cy="244800"/>
        </a:xfrm>
        <a:prstGeom prst="rect">
          <a:avLst/>
        </a:prstGeom>
        <a:solidFill>
          <a:srgbClr val="0A4669"/>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r>
            <a:rPr lang="de-AT" sz="1000">
              <a:solidFill>
                <a:schemeClr val="bg1"/>
              </a:solidFill>
              <a:latin typeface="PP Pangram Sans Semibold" panose="00000705000000000000" pitchFamily="2" charset="0"/>
            </a:rPr>
            <a:t>Delta</a:t>
          </a:r>
        </a:p>
      </xdr:txBody>
    </xdr:sp>
    <xdr:clientData/>
  </xdr:twoCellAnchor>
  <xdr:twoCellAnchor>
    <xdr:from>
      <xdr:col>6</xdr:col>
      <xdr:colOff>19066</xdr:colOff>
      <xdr:row>33</xdr:row>
      <xdr:rowOff>78441</xdr:rowOff>
    </xdr:from>
    <xdr:to>
      <xdr:col>6</xdr:col>
      <xdr:colOff>556252</xdr:colOff>
      <xdr:row>34</xdr:row>
      <xdr:rowOff>132741</xdr:rowOff>
    </xdr:to>
    <xdr:sp macro="" textlink="$AF$44">
      <xdr:nvSpPr>
        <xdr:cNvPr id="60" name="Rechteck 59">
          <a:extLst>
            <a:ext uri="{FF2B5EF4-FFF2-40B4-BE49-F238E27FC236}">
              <a16:creationId xmlns:a16="http://schemas.microsoft.com/office/drawing/2014/main" id="{3CE69154-914F-43BE-8749-9BF1ED354C9C}"/>
            </a:ext>
          </a:extLst>
        </xdr:cNvPr>
        <xdr:cNvSpPr/>
      </xdr:nvSpPr>
      <xdr:spPr>
        <a:xfrm>
          <a:off x="7315216" y="6431616"/>
          <a:ext cx="537186" cy="244800"/>
        </a:xfrm>
        <a:prstGeom prst="rect">
          <a:avLst/>
        </a:prstGeom>
        <a:solidFill>
          <a:schemeClr val="bg1">
            <a:lumMod val="85000"/>
          </a:schemeClr>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marL="0" indent="0" algn="ctr" defTabSz="144000" rtl="0" eaLnBrk="1" latinLnBrk="0" hangingPunct="1"/>
          <a:fld id="{F4546581-28FA-4BC8-ACBA-4C4CEF834C69}" type="TxLink">
            <a:rPr lang="en-US" sz="1100" b="0" i="0" u="none" strike="noStrike" kern="1200">
              <a:solidFill>
                <a:schemeClr val="bg1">
                  <a:lumMod val="50000"/>
                </a:schemeClr>
              </a:solidFill>
              <a:latin typeface="Calibri"/>
              <a:ea typeface="Calibri"/>
              <a:cs typeface="Calibri"/>
            </a:rPr>
            <a:pPr marL="0" indent="0" algn="ctr" defTabSz="144000" rtl="0" eaLnBrk="1" latinLnBrk="0" hangingPunct="1"/>
            <a:t>0,0</a:t>
          </a:fld>
          <a:endParaRPr lang="de-AT" sz="1100" b="0" i="0" u="none" strike="noStrike" kern="1200">
            <a:solidFill>
              <a:schemeClr val="bg1">
                <a:lumMod val="50000"/>
              </a:schemeClr>
            </a:solidFill>
            <a:latin typeface="Calibri"/>
            <a:ea typeface="Calibri"/>
            <a:cs typeface="Calibri"/>
          </a:endParaRPr>
        </a:p>
      </xdr:txBody>
    </xdr:sp>
    <xdr:clientData/>
  </xdr:twoCellAnchor>
  <xdr:twoCellAnchor>
    <xdr:from>
      <xdr:col>7</xdr:col>
      <xdr:colOff>743471</xdr:colOff>
      <xdr:row>33</xdr:row>
      <xdr:rowOff>78441</xdr:rowOff>
    </xdr:from>
    <xdr:to>
      <xdr:col>8</xdr:col>
      <xdr:colOff>363806</xdr:colOff>
      <xdr:row>34</xdr:row>
      <xdr:rowOff>132741</xdr:rowOff>
    </xdr:to>
    <xdr:sp macro="" textlink="$AF$45">
      <xdr:nvSpPr>
        <xdr:cNvPr id="61" name="Rechteck 60">
          <a:extLst>
            <a:ext uri="{FF2B5EF4-FFF2-40B4-BE49-F238E27FC236}">
              <a16:creationId xmlns:a16="http://schemas.microsoft.com/office/drawing/2014/main" id="{F635D85B-1A76-479B-81BE-C596F9BF216E}"/>
            </a:ext>
          </a:extLst>
        </xdr:cNvPr>
        <xdr:cNvSpPr/>
      </xdr:nvSpPr>
      <xdr:spPr>
        <a:xfrm>
          <a:off x="8877821" y="6431616"/>
          <a:ext cx="525210" cy="244800"/>
        </a:xfrm>
        <a:prstGeom prst="rect">
          <a:avLst/>
        </a:prstGeom>
        <a:solidFill>
          <a:schemeClr val="bg1">
            <a:lumMod val="85000"/>
          </a:schemeClr>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marL="0" indent="0" algn="ctr" defTabSz="144000" rtl="0" eaLnBrk="1" latinLnBrk="0" hangingPunct="1"/>
          <a:fld id="{21F76E1B-DA1A-4842-A671-BF5647103624}" type="TxLink">
            <a:rPr lang="en-US" sz="1100" b="0" i="0" u="none" strike="noStrike" kern="1200">
              <a:solidFill>
                <a:schemeClr val="bg1">
                  <a:lumMod val="50000"/>
                </a:schemeClr>
              </a:solidFill>
              <a:latin typeface="Calibri"/>
              <a:ea typeface="Calibri"/>
              <a:cs typeface="Calibri"/>
            </a:rPr>
            <a:pPr marL="0" indent="0" algn="ctr" defTabSz="144000" rtl="0" eaLnBrk="1" latinLnBrk="0" hangingPunct="1"/>
            <a:t>0,0</a:t>
          </a:fld>
          <a:endParaRPr lang="de-AT" sz="1100" b="0" i="0" u="none" strike="noStrike" kern="1200">
            <a:solidFill>
              <a:schemeClr val="bg1">
                <a:lumMod val="50000"/>
              </a:schemeClr>
            </a:solidFill>
            <a:latin typeface="Calibri"/>
            <a:ea typeface="Calibri"/>
            <a:cs typeface="Calibri"/>
          </a:endParaRPr>
        </a:p>
      </xdr:txBody>
    </xdr:sp>
    <xdr:clientData/>
  </xdr:twoCellAnchor>
  <xdr:twoCellAnchor>
    <xdr:from>
      <xdr:col>6</xdr:col>
      <xdr:colOff>846017</xdr:colOff>
      <xdr:row>30</xdr:row>
      <xdr:rowOff>20731</xdr:rowOff>
    </xdr:from>
    <xdr:to>
      <xdr:col>7</xdr:col>
      <xdr:colOff>603257</xdr:colOff>
      <xdr:row>31</xdr:row>
      <xdr:rowOff>75031</xdr:rowOff>
    </xdr:to>
    <xdr:sp macro="" textlink="$AF$43">
      <xdr:nvSpPr>
        <xdr:cNvPr id="62" name="Rechteck 61">
          <a:extLst>
            <a:ext uri="{FF2B5EF4-FFF2-40B4-BE49-F238E27FC236}">
              <a16:creationId xmlns:a16="http://schemas.microsoft.com/office/drawing/2014/main" id="{E584D6A0-A756-4245-9C34-6D7F68FB296F}"/>
            </a:ext>
          </a:extLst>
        </xdr:cNvPr>
        <xdr:cNvSpPr/>
      </xdr:nvSpPr>
      <xdr:spPr>
        <a:xfrm>
          <a:off x="8132642" y="5792881"/>
          <a:ext cx="604965" cy="244800"/>
        </a:xfrm>
        <a:prstGeom prst="rect">
          <a:avLst/>
        </a:prstGeom>
        <a:no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marL="0" indent="0" algn="r" defTabSz="144000" rtl="0" eaLnBrk="1" latinLnBrk="0" hangingPunct="1"/>
          <a:fld id="{CA67662E-FC37-4A2A-82DA-37D24476E2EF}" type="TxLink">
            <a:rPr lang="en-US" sz="1100" b="0" i="0" u="none" strike="noStrike" kern="1200">
              <a:solidFill>
                <a:schemeClr val="bg1">
                  <a:lumMod val="50000"/>
                </a:schemeClr>
              </a:solidFill>
              <a:latin typeface="Calibri"/>
              <a:ea typeface="Calibri"/>
              <a:cs typeface="Calibri"/>
            </a:rPr>
            <a:pPr marL="0" indent="0" algn="r" defTabSz="144000" rtl="0" eaLnBrk="1" latinLnBrk="0" hangingPunct="1"/>
            <a:t>0,0</a:t>
          </a:fld>
          <a:endParaRPr lang="de-AT" sz="1100" b="0" i="0" u="none" strike="noStrike" kern="1200">
            <a:solidFill>
              <a:schemeClr val="bg1">
                <a:lumMod val="50000"/>
              </a:schemeClr>
            </a:solidFill>
            <a:latin typeface="Calibri"/>
            <a:ea typeface="Calibri"/>
            <a:cs typeface="Calibri"/>
          </a:endParaRPr>
        </a:p>
      </xdr:txBody>
    </xdr:sp>
    <xdr:clientData/>
  </xdr:twoCellAnchor>
  <xdr:twoCellAnchor>
    <xdr:from>
      <xdr:col>7</xdr:col>
      <xdr:colOff>222134</xdr:colOff>
      <xdr:row>28</xdr:row>
      <xdr:rowOff>76297</xdr:rowOff>
    </xdr:from>
    <xdr:to>
      <xdr:col>7</xdr:col>
      <xdr:colOff>223086</xdr:colOff>
      <xdr:row>31</xdr:row>
      <xdr:rowOff>174905</xdr:rowOff>
    </xdr:to>
    <xdr:cxnSp macro="">
      <xdr:nvCxnSpPr>
        <xdr:cNvPr id="63" name="Gerade Verbindung mit Pfeil 62">
          <a:extLst>
            <a:ext uri="{FF2B5EF4-FFF2-40B4-BE49-F238E27FC236}">
              <a16:creationId xmlns:a16="http://schemas.microsoft.com/office/drawing/2014/main" id="{F1594C07-10A4-4A47-9375-D2C3F50BB6CD}"/>
            </a:ext>
          </a:extLst>
        </xdr:cNvPr>
        <xdr:cNvCxnSpPr>
          <a:stCxn id="55" idx="2"/>
          <a:endCxn id="42" idx="0"/>
        </xdr:cNvCxnSpPr>
      </xdr:nvCxnSpPr>
      <xdr:spPr>
        <a:xfrm flipH="1">
          <a:off x="8356484" y="5467447"/>
          <a:ext cx="952" cy="670108"/>
        </a:xfrm>
        <a:prstGeom prst="straightConnector1">
          <a:avLst/>
        </a:prstGeom>
        <a:ln>
          <a:solidFill>
            <a:schemeClr val="bg1">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556252</xdr:colOff>
      <xdr:row>29</xdr:row>
      <xdr:rowOff>172937</xdr:rowOff>
    </xdr:from>
    <xdr:to>
      <xdr:col>7</xdr:col>
      <xdr:colOff>743471</xdr:colOff>
      <xdr:row>29</xdr:row>
      <xdr:rowOff>182461</xdr:rowOff>
    </xdr:to>
    <xdr:cxnSp macro="">
      <xdr:nvCxnSpPr>
        <xdr:cNvPr id="64" name="Gerader Verbinder 63">
          <a:extLst>
            <a:ext uri="{FF2B5EF4-FFF2-40B4-BE49-F238E27FC236}">
              <a16:creationId xmlns:a16="http://schemas.microsoft.com/office/drawing/2014/main" id="{B6D265D0-C91C-491D-A37A-B52F3590533C}"/>
            </a:ext>
          </a:extLst>
        </xdr:cNvPr>
        <xdr:cNvCxnSpPr>
          <a:stCxn id="37" idx="3"/>
          <a:endCxn id="45" idx="1"/>
        </xdr:cNvCxnSpPr>
      </xdr:nvCxnSpPr>
      <xdr:spPr>
        <a:xfrm flipV="1">
          <a:off x="7852402" y="5754587"/>
          <a:ext cx="1025419" cy="9524"/>
        </a:xfrm>
        <a:prstGeom prst="line">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556252</xdr:colOff>
      <xdr:row>32</xdr:row>
      <xdr:rowOff>95599</xdr:rowOff>
    </xdr:from>
    <xdr:to>
      <xdr:col>6</xdr:col>
      <xdr:colOff>807801</xdr:colOff>
      <xdr:row>32</xdr:row>
      <xdr:rowOff>95599</xdr:rowOff>
    </xdr:to>
    <xdr:cxnSp macro="">
      <xdr:nvCxnSpPr>
        <xdr:cNvPr id="65" name="Gerade Verbindung mit Pfeil 64">
          <a:extLst>
            <a:ext uri="{FF2B5EF4-FFF2-40B4-BE49-F238E27FC236}">
              <a16:creationId xmlns:a16="http://schemas.microsoft.com/office/drawing/2014/main" id="{DD22196D-6946-4E67-81EF-B00B473972C6}"/>
            </a:ext>
          </a:extLst>
        </xdr:cNvPr>
        <xdr:cNvCxnSpPr>
          <a:stCxn id="42" idx="1"/>
          <a:endCxn id="40" idx="3"/>
        </xdr:cNvCxnSpPr>
      </xdr:nvCxnSpPr>
      <xdr:spPr>
        <a:xfrm flipH="1">
          <a:off x="7852402" y="6258274"/>
          <a:ext cx="251549" cy="0"/>
        </a:xfrm>
        <a:prstGeom prst="straightConnector1">
          <a:avLst/>
        </a:prstGeom>
        <a:ln>
          <a:solidFill>
            <a:schemeClr val="bg1">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488113</xdr:colOff>
      <xdr:row>32</xdr:row>
      <xdr:rowOff>95599</xdr:rowOff>
    </xdr:from>
    <xdr:to>
      <xdr:col>7</xdr:col>
      <xdr:colOff>739661</xdr:colOff>
      <xdr:row>32</xdr:row>
      <xdr:rowOff>95599</xdr:rowOff>
    </xdr:to>
    <xdr:cxnSp macro="">
      <xdr:nvCxnSpPr>
        <xdr:cNvPr id="66" name="Gerade Verbindung mit Pfeil 65">
          <a:extLst>
            <a:ext uri="{FF2B5EF4-FFF2-40B4-BE49-F238E27FC236}">
              <a16:creationId xmlns:a16="http://schemas.microsoft.com/office/drawing/2014/main" id="{BAB85229-CC24-4B41-9310-B90805B4BD6A}"/>
            </a:ext>
          </a:extLst>
        </xdr:cNvPr>
        <xdr:cNvCxnSpPr>
          <a:stCxn id="42" idx="3"/>
          <a:endCxn id="47" idx="1"/>
        </xdr:cNvCxnSpPr>
      </xdr:nvCxnSpPr>
      <xdr:spPr>
        <a:xfrm>
          <a:off x="8622463" y="6258274"/>
          <a:ext cx="251548" cy="0"/>
        </a:xfrm>
        <a:prstGeom prst="straightConnector1">
          <a:avLst/>
        </a:prstGeom>
        <a:ln>
          <a:solidFill>
            <a:schemeClr val="bg1">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488113</xdr:colOff>
      <xdr:row>27</xdr:row>
      <xdr:rowOff>144397</xdr:rowOff>
    </xdr:from>
    <xdr:to>
      <xdr:col>7</xdr:col>
      <xdr:colOff>739661</xdr:colOff>
      <xdr:row>27</xdr:row>
      <xdr:rowOff>144397</xdr:rowOff>
    </xdr:to>
    <xdr:cxnSp macro="">
      <xdr:nvCxnSpPr>
        <xdr:cNvPr id="67" name="Gerade Verbindung mit Pfeil 66">
          <a:extLst>
            <a:ext uri="{FF2B5EF4-FFF2-40B4-BE49-F238E27FC236}">
              <a16:creationId xmlns:a16="http://schemas.microsoft.com/office/drawing/2014/main" id="{E1AD5A80-B636-4278-823B-91B4EEBD5506}"/>
            </a:ext>
          </a:extLst>
        </xdr:cNvPr>
        <xdr:cNvCxnSpPr>
          <a:stCxn id="55" idx="3"/>
          <a:endCxn id="56" idx="1"/>
        </xdr:cNvCxnSpPr>
      </xdr:nvCxnSpPr>
      <xdr:spPr>
        <a:xfrm>
          <a:off x="8622463" y="5345047"/>
          <a:ext cx="251548" cy="0"/>
        </a:xfrm>
        <a:prstGeom prst="straightConnector1">
          <a:avLst/>
        </a:prstGeom>
        <a:ln>
          <a:solidFill>
            <a:schemeClr val="bg1">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558157</xdr:colOff>
      <xdr:row>27</xdr:row>
      <xdr:rowOff>144397</xdr:rowOff>
    </xdr:from>
    <xdr:to>
      <xdr:col>6</xdr:col>
      <xdr:colOff>809706</xdr:colOff>
      <xdr:row>27</xdr:row>
      <xdr:rowOff>144397</xdr:rowOff>
    </xdr:to>
    <xdr:cxnSp macro="">
      <xdr:nvCxnSpPr>
        <xdr:cNvPr id="68" name="Gerade Verbindung mit Pfeil 67">
          <a:extLst>
            <a:ext uri="{FF2B5EF4-FFF2-40B4-BE49-F238E27FC236}">
              <a16:creationId xmlns:a16="http://schemas.microsoft.com/office/drawing/2014/main" id="{413A801A-902E-447D-94B6-5D56AFFED0FB}"/>
            </a:ext>
          </a:extLst>
        </xdr:cNvPr>
        <xdr:cNvCxnSpPr>
          <a:stCxn id="55" idx="1"/>
          <a:endCxn id="54" idx="3"/>
        </xdr:cNvCxnSpPr>
      </xdr:nvCxnSpPr>
      <xdr:spPr>
        <a:xfrm flipH="1">
          <a:off x="7854307" y="5345047"/>
          <a:ext cx="251549" cy="0"/>
        </a:xfrm>
        <a:prstGeom prst="straightConnector1">
          <a:avLst/>
        </a:prstGeom>
        <a:ln>
          <a:solidFill>
            <a:schemeClr val="bg1">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488113</xdr:colOff>
      <xdr:row>9</xdr:row>
      <xdr:rowOff>144397</xdr:rowOff>
    </xdr:from>
    <xdr:to>
      <xdr:col>7</xdr:col>
      <xdr:colOff>739661</xdr:colOff>
      <xdr:row>9</xdr:row>
      <xdr:rowOff>144397</xdr:rowOff>
    </xdr:to>
    <xdr:cxnSp macro="">
      <xdr:nvCxnSpPr>
        <xdr:cNvPr id="69" name="Gerade Verbindung mit Pfeil 68">
          <a:extLst>
            <a:ext uri="{FF2B5EF4-FFF2-40B4-BE49-F238E27FC236}">
              <a16:creationId xmlns:a16="http://schemas.microsoft.com/office/drawing/2014/main" id="{615BF53C-240A-4004-AEB0-E771428F69F4}"/>
            </a:ext>
          </a:extLst>
        </xdr:cNvPr>
        <xdr:cNvCxnSpPr>
          <a:stCxn id="23" idx="3"/>
          <a:endCxn id="24" idx="1"/>
        </xdr:cNvCxnSpPr>
      </xdr:nvCxnSpPr>
      <xdr:spPr>
        <a:xfrm>
          <a:off x="8622463" y="1916047"/>
          <a:ext cx="251548" cy="0"/>
        </a:xfrm>
        <a:prstGeom prst="straightConnector1">
          <a:avLst/>
        </a:prstGeom>
        <a:ln>
          <a:solidFill>
            <a:schemeClr val="bg1">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558157</xdr:colOff>
      <xdr:row>9</xdr:row>
      <xdr:rowOff>144397</xdr:rowOff>
    </xdr:from>
    <xdr:to>
      <xdr:col>6</xdr:col>
      <xdr:colOff>809706</xdr:colOff>
      <xdr:row>9</xdr:row>
      <xdr:rowOff>144397</xdr:rowOff>
    </xdr:to>
    <xdr:cxnSp macro="">
      <xdr:nvCxnSpPr>
        <xdr:cNvPr id="70" name="Gerade Verbindung mit Pfeil 69">
          <a:extLst>
            <a:ext uri="{FF2B5EF4-FFF2-40B4-BE49-F238E27FC236}">
              <a16:creationId xmlns:a16="http://schemas.microsoft.com/office/drawing/2014/main" id="{BAAC1DC8-3BD3-482F-89BA-3F46BE52E183}"/>
            </a:ext>
          </a:extLst>
        </xdr:cNvPr>
        <xdr:cNvCxnSpPr>
          <a:stCxn id="23" idx="1"/>
          <a:endCxn id="22" idx="3"/>
        </xdr:cNvCxnSpPr>
      </xdr:nvCxnSpPr>
      <xdr:spPr>
        <a:xfrm flipH="1">
          <a:off x="7854307" y="1916047"/>
          <a:ext cx="251549" cy="0"/>
        </a:xfrm>
        <a:prstGeom prst="straightConnector1">
          <a:avLst/>
        </a:prstGeom>
        <a:ln>
          <a:solidFill>
            <a:schemeClr val="bg1">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247650</xdr:colOff>
      <xdr:row>19</xdr:row>
      <xdr:rowOff>80471</xdr:rowOff>
    </xdr:from>
    <xdr:to>
      <xdr:col>5</xdr:col>
      <xdr:colOff>282879</xdr:colOff>
      <xdr:row>20</xdr:row>
      <xdr:rowOff>134771</xdr:rowOff>
    </xdr:to>
    <xdr:sp macro="" textlink="">
      <xdr:nvSpPr>
        <xdr:cNvPr id="71" name="Rechteck 70">
          <a:extLst>
            <a:ext uri="{FF2B5EF4-FFF2-40B4-BE49-F238E27FC236}">
              <a16:creationId xmlns:a16="http://schemas.microsoft.com/office/drawing/2014/main" id="{663FEB3B-7AD3-43B0-9571-EF65BBF82107}"/>
            </a:ext>
          </a:extLst>
        </xdr:cNvPr>
        <xdr:cNvSpPr/>
      </xdr:nvSpPr>
      <xdr:spPr>
        <a:xfrm>
          <a:off x="5095875" y="3757121"/>
          <a:ext cx="1273479" cy="244800"/>
        </a:xfrm>
        <a:prstGeom prst="rect">
          <a:avLst/>
        </a:prstGeom>
        <a:solidFill>
          <a:srgbClr val="0A4669"/>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r>
            <a:rPr lang="de-AT" sz="1000" kern="1200">
              <a:solidFill>
                <a:schemeClr val="bg1"/>
              </a:solidFill>
              <a:latin typeface="PP Pangram Sans Semibold" panose="00000705000000000000" pitchFamily="2" charset="0"/>
              <a:ea typeface="+mn-ea"/>
              <a:cs typeface="+mn-cs"/>
            </a:rPr>
            <a:t>CRRC (€/MWh)</a:t>
          </a:r>
          <a:endParaRPr lang="de-AT" sz="1000">
            <a:solidFill>
              <a:schemeClr val="bg1"/>
            </a:solidFill>
            <a:latin typeface="PP Pangram Sans Semibold" panose="00000705000000000000" pitchFamily="2" charset="0"/>
          </a:endParaRPr>
        </a:p>
      </xdr:txBody>
    </xdr:sp>
    <xdr:clientData/>
  </xdr:twoCellAnchor>
  <xdr:twoCellAnchor>
    <xdr:from>
      <xdr:col>5</xdr:col>
      <xdr:colOff>339587</xdr:colOff>
      <xdr:row>19</xdr:row>
      <xdr:rowOff>80471</xdr:rowOff>
    </xdr:from>
    <xdr:to>
      <xdr:col>5</xdr:col>
      <xdr:colOff>892105</xdr:colOff>
      <xdr:row>20</xdr:row>
      <xdr:rowOff>134771</xdr:rowOff>
    </xdr:to>
    <xdr:sp macro="" textlink="$C$11">
      <xdr:nvSpPr>
        <xdr:cNvPr id="72" name="Rechteck 71">
          <a:extLst>
            <a:ext uri="{FF2B5EF4-FFF2-40B4-BE49-F238E27FC236}">
              <a16:creationId xmlns:a16="http://schemas.microsoft.com/office/drawing/2014/main" id="{A30E16D4-1F89-458F-B583-F440F9578E70}"/>
            </a:ext>
          </a:extLst>
        </xdr:cNvPr>
        <xdr:cNvSpPr/>
      </xdr:nvSpPr>
      <xdr:spPr>
        <a:xfrm>
          <a:off x="6426062" y="3757121"/>
          <a:ext cx="552518" cy="244800"/>
        </a:xfrm>
        <a:prstGeom prst="rect">
          <a:avLst/>
        </a:prstGeom>
        <a:solidFill>
          <a:srgbClr val="C3E49C"/>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algn="ctr"/>
          <a:fld id="{09E8FD6E-8AAA-4F41-AFEF-8BC48B75F67B}" type="TxLink">
            <a:rPr lang="en-US" sz="1100" b="0" i="0" u="none" strike="noStrike">
              <a:solidFill>
                <a:schemeClr val="bg1">
                  <a:lumMod val="50000"/>
                </a:schemeClr>
              </a:solidFill>
              <a:latin typeface="Calibri"/>
              <a:ea typeface="Calibri"/>
              <a:cs typeface="Calibri"/>
            </a:rPr>
            <a:pPr algn="ctr"/>
            <a:t> </a:t>
          </a:fld>
          <a:endParaRPr lang="de-AT" sz="1000">
            <a:solidFill>
              <a:schemeClr val="bg1">
                <a:lumMod val="50000"/>
              </a:schemeClr>
            </a:solidFill>
            <a:latin typeface="PP Pangram Sans Semibold" panose="00000705000000000000" pitchFamily="2" charset="0"/>
          </a:endParaRPr>
        </a:p>
      </xdr:txBody>
    </xdr:sp>
    <xdr:clientData/>
  </xdr:twoCellAnchor>
  <xdr:twoCellAnchor>
    <xdr:from>
      <xdr:col>6</xdr:col>
      <xdr:colOff>262842</xdr:colOff>
      <xdr:row>19</xdr:row>
      <xdr:rowOff>80471</xdr:rowOff>
    </xdr:from>
    <xdr:to>
      <xdr:col>7</xdr:col>
      <xdr:colOff>679360</xdr:colOff>
      <xdr:row>20</xdr:row>
      <xdr:rowOff>134771</xdr:rowOff>
    </xdr:to>
    <xdr:sp macro="" textlink="">
      <xdr:nvSpPr>
        <xdr:cNvPr id="73" name="Rechteck 72">
          <a:extLst>
            <a:ext uri="{FF2B5EF4-FFF2-40B4-BE49-F238E27FC236}">
              <a16:creationId xmlns:a16="http://schemas.microsoft.com/office/drawing/2014/main" id="{8A3D0EE7-4B85-49E4-ADFF-854B3B588584}"/>
            </a:ext>
          </a:extLst>
        </xdr:cNvPr>
        <xdr:cNvSpPr/>
      </xdr:nvSpPr>
      <xdr:spPr>
        <a:xfrm>
          <a:off x="7558992" y="3757121"/>
          <a:ext cx="1254718" cy="244800"/>
        </a:xfrm>
        <a:prstGeom prst="rect">
          <a:avLst/>
        </a:prstGeom>
        <a:solidFill>
          <a:srgbClr val="0A4669"/>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r>
            <a:rPr lang="de-AT" sz="1000">
              <a:solidFill>
                <a:schemeClr val="bg1"/>
              </a:solidFill>
              <a:latin typeface="PP Pangram Sans Semibold" panose="00000705000000000000" pitchFamily="2" charset="0"/>
            </a:rPr>
            <a:t>CRRC ITC (plan)</a:t>
          </a:r>
        </a:p>
      </xdr:txBody>
    </xdr:sp>
    <xdr:clientData/>
  </xdr:twoCellAnchor>
  <xdr:twoCellAnchor>
    <xdr:from>
      <xdr:col>7</xdr:col>
      <xdr:colOff>723111</xdr:colOff>
      <xdr:row>19</xdr:row>
      <xdr:rowOff>80471</xdr:rowOff>
    </xdr:from>
    <xdr:to>
      <xdr:col>8</xdr:col>
      <xdr:colOff>359996</xdr:colOff>
      <xdr:row>20</xdr:row>
      <xdr:rowOff>134771</xdr:rowOff>
    </xdr:to>
    <xdr:sp macro="" textlink="$AF$27">
      <xdr:nvSpPr>
        <xdr:cNvPr id="74" name="Rechteck 73">
          <a:extLst>
            <a:ext uri="{FF2B5EF4-FFF2-40B4-BE49-F238E27FC236}">
              <a16:creationId xmlns:a16="http://schemas.microsoft.com/office/drawing/2014/main" id="{29CCD1D0-7A8C-470B-A377-CDD562833612}"/>
            </a:ext>
          </a:extLst>
        </xdr:cNvPr>
        <xdr:cNvSpPr/>
      </xdr:nvSpPr>
      <xdr:spPr>
        <a:xfrm>
          <a:off x="8857461" y="3757121"/>
          <a:ext cx="541760" cy="244800"/>
        </a:xfrm>
        <a:prstGeom prst="rect">
          <a:avLst/>
        </a:prstGeom>
        <a:solidFill>
          <a:srgbClr val="DCE6F2"/>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algn="ctr"/>
          <a:fld id="{750FF7AB-9DD8-49B5-9ED2-5BBCC886F6B4}" type="TxLink">
            <a:rPr lang="en-US" sz="1100" b="0" i="0" u="none" strike="noStrike">
              <a:solidFill>
                <a:schemeClr val="bg1">
                  <a:lumMod val="50000"/>
                </a:schemeClr>
              </a:solidFill>
              <a:latin typeface="Calibri"/>
              <a:ea typeface="Calibri"/>
              <a:cs typeface="Calibri"/>
            </a:rPr>
            <a:pPr algn="ctr"/>
            <a:t>n.a.</a:t>
          </a:fld>
          <a:endParaRPr lang="de-AT" sz="1000">
            <a:solidFill>
              <a:schemeClr val="bg1">
                <a:lumMod val="50000"/>
              </a:schemeClr>
            </a:solidFill>
            <a:latin typeface="PP Pangram Sans Semibold" panose="00000705000000000000" pitchFamily="2" charset="0"/>
          </a:endParaRPr>
        </a:p>
      </xdr:txBody>
    </xdr:sp>
    <xdr:clientData/>
  </xdr:twoCellAnchor>
  <xdr:twoCellAnchor>
    <xdr:from>
      <xdr:col>12</xdr:col>
      <xdr:colOff>95250</xdr:colOff>
      <xdr:row>27</xdr:row>
      <xdr:rowOff>180975</xdr:rowOff>
    </xdr:from>
    <xdr:to>
      <xdr:col>14</xdr:col>
      <xdr:colOff>361950</xdr:colOff>
      <xdr:row>32</xdr:row>
      <xdr:rowOff>28575</xdr:rowOff>
    </xdr:to>
    <xdr:sp macro="" textlink="">
      <xdr:nvSpPr>
        <xdr:cNvPr id="75" name="Textfeld 74">
          <a:extLst>
            <a:ext uri="{FF2B5EF4-FFF2-40B4-BE49-F238E27FC236}">
              <a16:creationId xmlns:a16="http://schemas.microsoft.com/office/drawing/2014/main" id="{1F3BEF19-96F8-4DBA-AD08-117C30768613}"/>
            </a:ext>
          </a:extLst>
        </xdr:cNvPr>
        <xdr:cNvSpPr txBox="1"/>
      </xdr:nvSpPr>
      <xdr:spPr>
        <a:xfrm>
          <a:off x="12496800" y="5381625"/>
          <a:ext cx="2000250" cy="8096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AT" sz="800" i="1"/>
            <a:t>ITC formulas represent </a:t>
          </a:r>
          <a:r>
            <a:rPr lang="de-AT" sz="800" i="1" baseline="0"/>
            <a:t>an exemplary approach and do not represent the actually applied mechanism, which is still to be decided upon by the TSOs at the time of creation of this model (5.12.2023)</a:t>
          </a:r>
          <a:endParaRPr lang="de-AT" sz="800" i="1"/>
        </a:p>
      </xdr:txBody>
    </xdr:sp>
    <xdr:clientData/>
  </xdr:twoCellAnchor>
  <xdr:twoCellAnchor>
    <xdr:from>
      <xdr:col>10</xdr:col>
      <xdr:colOff>95250</xdr:colOff>
      <xdr:row>42</xdr:row>
      <xdr:rowOff>0</xdr:rowOff>
    </xdr:from>
    <xdr:to>
      <xdr:col>12</xdr:col>
      <xdr:colOff>361950</xdr:colOff>
      <xdr:row>46</xdr:row>
      <xdr:rowOff>38100</xdr:rowOff>
    </xdr:to>
    <xdr:sp macro="" textlink="">
      <xdr:nvSpPr>
        <xdr:cNvPr id="76" name="Textfeld 75">
          <a:extLst>
            <a:ext uri="{FF2B5EF4-FFF2-40B4-BE49-F238E27FC236}">
              <a16:creationId xmlns:a16="http://schemas.microsoft.com/office/drawing/2014/main" id="{F0A963E8-C573-4825-9088-D780F68D019F}"/>
            </a:ext>
          </a:extLst>
        </xdr:cNvPr>
        <xdr:cNvSpPr txBox="1"/>
      </xdr:nvSpPr>
      <xdr:spPr>
        <a:xfrm>
          <a:off x="10763250" y="8067675"/>
          <a:ext cx="2000250" cy="8096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AT" sz="800" i="1"/>
            <a:t>ITC formulas represent </a:t>
          </a:r>
          <a:r>
            <a:rPr lang="de-AT" sz="800" i="1" baseline="0"/>
            <a:t>an exemplary approach and do not represent the actually applied mechanism, which is still to be decided upon by the TSOs at the time of creation of this model (5.12.2023)</a:t>
          </a:r>
          <a:endParaRPr lang="de-AT" sz="800" i="1"/>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BC8C77-5D5F-4F2F-A94C-6AB32977CB3B}">
  <sheetPr>
    <tabColor rgb="FF0070C0"/>
  </sheetPr>
  <dimension ref="A1:X82"/>
  <sheetViews>
    <sheetView showGridLines="0" tabSelected="1" zoomScale="85" zoomScaleNormal="85" workbookViewId="0">
      <selection activeCell="K36" sqref="K36"/>
    </sheetView>
  </sheetViews>
  <sheetFormatPr baseColWidth="10" defaultRowHeight="15"/>
  <cols>
    <col min="1" max="1" width="4.140625" style="518" customWidth="1"/>
    <col min="2" max="2" width="11.42578125" style="518"/>
    <col min="3" max="3" width="10.5703125" style="518" customWidth="1"/>
    <col min="4" max="4" width="9.140625" style="518" bestFit="1" customWidth="1"/>
    <col min="5" max="5" width="30.5703125" style="518" customWidth="1"/>
    <col min="6" max="6" width="14" style="518" bestFit="1" customWidth="1"/>
    <col min="7" max="7" width="2.5703125" style="518" customWidth="1"/>
    <col min="8" max="9" width="14.7109375" style="518" customWidth="1"/>
    <col min="10" max="10" width="3.42578125" style="518" customWidth="1"/>
    <col min="11" max="12" width="14.7109375" style="518" customWidth="1"/>
    <col min="13" max="13" width="3.42578125" style="518" customWidth="1"/>
    <col min="14" max="14" width="11.42578125" style="518"/>
    <col min="15" max="15" width="17.5703125" style="518" bestFit="1" customWidth="1"/>
    <col min="16" max="16" width="14.85546875" style="518" customWidth="1"/>
    <col min="17" max="17" width="3.42578125" style="518" customWidth="1"/>
    <col min="18" max="19" width="14.85546875" style="518" customWidth="1"/>
    <col min="20" max="20" width="3.42578125" style="518" customWidth="1"/>
    <col min="21" max="21" width="14.85546875" style="518" customWidth="1"/>
    <col min="22" max="22" width="10.85546875" style="518" customWidth="1"/>
    <col min="23" max="23" width="14.85546875" style="518" customWidth="1"/>
    <col min="24" max="24" width="10.85546875" style="518" customWidth="1"/>
    <col min="25" max="16384" width="11.42578125" style="518"/>
  </cols>
  <sheetData>
    <row r="1" spans="1:24" ht="69" customHeight="1" thickBot="1">
      <c r="A1" s="855"/>
      <c r="B1" s="856"/>
      <c r="C1" s="856"/>
      <c r="D1" s="856"/>
      <c r="E1" s="886" t="s">
        <v>379</v>
      </c>
      <c r="F1" s="856"/>
      <c r="G1" s="856"/>
      <c r="H1" s="856"/>
      <c r="I1" s="856"/>
      <c r="J1" s="856"/>
      <c r="K1" s="856"/>
      <c r="L1" s="856"/>
      <c r="M1" s="856"/>
      <c r="N1" s="543"/>
      <c r="O1" s="543"/>
      <c r="P1" s="543"/>
      <c r="Q1" s="543"/>
      <c r="R1" s="543"/>
      <c r="S1" s="543"/>
      <c r="T1" s="543"/>
      <c r="U1" s="543"/>
      <c r="V1" s="543"/>
      <c r="W1" s="543"/>
      <c r="X1" s="545"/>
    </row>
    <row r="2" spans="1:24" ht="15.75" thickBot="1"/>
    <row r="3" spans="1:24" ht="24.75" customHeight="1" thickBot="1">
      <c r="B3" s="851" t="s">
        <v>376</v>
      </c>
      <c r="C3" s="852"/>
      <c r="D3" s="852"/>
      <c r="E3" s="852"/>
      <c r="F3" s="852"/>
      <c r="G3" s="852"/>
      <c r="H3" s="852"/>
      <c r="I3" s="852"/>
      <c r="J3" s="852"/>
      <c r="K3" s="852"/>
      <c r="L3" s="853"/>
      <c r="N3" s="851" t="s">
        <v>377</v>
      </c>
      <c r="O3" s="852"/>
      <c r="P3" s="852"/>
      <c r="Q3" s="852"/>
      <c r="R3" s="852"/>
      <c r="S3" s="852"/>
      <c r="T3" s="852"/>
      <c r="U3" s="852"/>
      <c r="V3" s="852"/>
      <c r="W3" s="852"/>
      <c r="X3" s="853"/>
    </row>
    <row r="4" spans="1:24">
      <c r="B4" s="1040"/>
      <c r="H4" s="531"/>
    </row>
    <row r="5" spans="1:24" ht="15.75" thickBot="1">
      <c r="B5" s="1039"/>
      <c r="H5" s="531"/>
    </row>
    <row r="6" spans="1:24" ht="16.5" customHeight="1" thickBot="1">
      <c r="B6" s="921" t="s">
        <v>381</v>
      </c>
      <c r="C6" s="887"/>
      <c r="D6" s="888"/>
      <c r="H6" s="1048" t="s">
        <v>388</v>
      </c>
      <c r="I6" s="1049"/>
      <c r="J6" s="1042"/>
      <c r="K6" s="1052" t="s">
        <v>389</v>
      </c>
      <c r="L6" s="1053"/>
      <c r="N6" s="542" t="s">
        <v>370</v>
      </c>
      <c r="O6" s="544"/>
      <c r="P6" s="861" t="s">
        <v>111</v>
      </c>
      <c r="R6" s="532" t="s">
        <v>388</v>
      </c>
      <c r="S6" s="857"/>
      <c r="T6" s="1042"/>
      <c r="U6" s="877" t="s">
        <v>380</v>
      </c>
      <c r="V6" s="878"/>
      <c r="W6" s="879"/>
      <c r="X6" s="879"/>
    </row>
    <row r="7" spans="1:24" ht="15.75" customHeight="1" thickBot="1">
      <c r="H7" s="1050"/>
      <c r="I7" s="1051"/>
      <c r="J7" s="1042"/>
      <c r="K7" s="1054"/>
      <c r="L7" s="1055"/>
      <c r="N7" s="142"/>
      <c r="O7" s="598"/>
      <c r="P7" s="598"/>
      <c r="R7" s="746">
        <f>rpm_start_year</f>
        <v>2025</v>
      </c>
      <c r="S7" s="747">
        <f>R7+1</f>
        <v>2026</v>
      </c>
      <c r="T7" s="1042"/>
      <c r="U7" s="882">
        <f>R7+1</f>
        <v>2026</v>
      </c>
      <c r="V7" s="883"/>
      <c r="W7" s="884">
        <f>U7+1</f>
        <v>2027</v>
      </c>
      <c r="X7" s="885"/>
    </row>
    <row r="8" spans="1:24" ht="15.75" thickBot="1">
      <c r="N8" s="142"/>
      <c r="O8" s="598"/>
      <c r="P8" s="752" t="s">
        <v>57</v>
      </c>
      <c r="Q8" s="753"/>
      <c r="R8" s="754" t="s">
        <v>57</v>
      </c>
      <c r="S8" s="755" t="s">
        <v>57</v>
      </c>
      <c r="T8" s="1042"/>
      <c r="U8" s="757" t="s">
        <v>57</v>
      </c>
      <c r="V8" s="1045" t="s">
        <v>391</v>
      </c>
      <c r="W8" s="758" t="s">
        <v>57</v>
      </c>
      <c r="X8" s="1046" t="s">
        <v>390</v>
      </c>
    </row>
    <row r="9" spans="1:24" ht="15.75" thickBot="1">
      <c r="B9" s="542" t="s">
        <v>364</v>
      </c>
      <c r="C9" s="543"/>
      <c r="D9" s="544"/>
      <c r="E9" s="544"/>
      <c r="F9" s="534" t="s">
        <v>111</v>
      </c>
      <c r="H9" s="535" t="s">
        <v>250</v>
      </c>
      <c r="I9" s="536" t="s">
        <v>252</v>
      </c>
      <c r="J9" s="1042"/>
      <c r="K9" s="539" t="s">
        <v>361</v>
      </c>
      <c r="L9" s="540" t="s">
        <v>362</v>
      </c>
      <c r="N9" s="142"/>
      <c r="O9" s="760" t="s">
        <v>232</v>
      </c>
      <c r="P9" s="761">
        <v>0.84700000000000009</v>
      </c>
      <c r="Q9" s="753"/>
      <c r="R9" s="762">
        <v>1.372598089052816</v>
      </c>
      <c r="S9" s="763">
        <v>2.7736328397447485</v>
      </c>
      <c r="T9" s="1042"/>
      <c r="U9" s="764" cm="1">
        <f t="array" aca="1" ref="U9:U26" ca="1">tariff_2026</f>
        <v>2.7736328397447485</v>
      </c>
      <c r="V9" s="927">
        <f t="shared" ref="V9:V26" ca="1" si="0">+U9/R9-1</f>
        <v>1.0207173985348761</v>
      </c>
      <c r="W9" s="765" cm="1">
        <f t="array" aca="1" ref="W9:W26" ca="1">tariff_2027</f>
        <v>2.7736328397447485</v>
      </c>
      <c r="X9" s="1068">
        <f t="shared" ref="X9:X26" ca="1" si="1">+W9/S9-1</f>
        <v>0</v>
      </c>
    </row>
    <row r="10" spans="1:24" ht="15.75" thickBot="1">
      <c r="H10" s="549">
        <f>rpm_start_year</f>
        <v>2025</v>
      </c>
      <c r="I10" s="550">
        <f>H10+1</f>
        <v>2026</v>
      </c>
      <c r="J10" s="1042"/>
      <c r="K10" s="553">
        <f>H10+1</f>
        <v>2026</v>
      </c>
      <c r="L10" s="554">
        <f>K10+1</f>
        <v>2027</v>
      </c>
      <c r="N10" s="142"/>
      <c r="O10" s="768" t="s">
        <v>233</v>
      </c>
      <c r="P10" s="769">
        <v>1.2320000000000002</v>
      </c>
      <c r="Q10" s="753"/>
      <c r="R10" s="770">
        <v>2.1480106281567006</v>
      </c>
      <c r="S10" s="771">
        <v>3.7360454146105768</v>
      </c>
      <c r="T10" s="1042"/>
      <c r="U10" s="772">
        <f ca="1"/>
        <v>3.7360454146105768</v>
      </c>
      <c r="V10" s="928">
        <f t="shared" ca="1" si="0"/>
        <v>0.73930490177166219</v>
      </c>
      <c r="W10" s="773">
        <f ca="1"/>
        <v>3.7360454146105768</v>
      </c>
      <c r="X10" s="1069">
        <f t="shared" ca="1" si="1"/>
        <v>0</v>
      </c>
    </row>
    <row r="11" spans="1:24">
      <c r="B11" s="555" t="s">
        <v>284</v>
      </c>
      <c r="C11" s="556"/>
      <c r="D11" s="556"/>
      <c r="E11" s="557"/>
      <c r="F11" s="558">
        <v>126092.6</v>
      </c>
      <c r="G11" s="559"/>
      <c r="H11" s="560">
        <v>99061029.620682895</v>
      </c>
      <c r="I11" s="561">
        <v>104170346</v>
      </c>
      <c r="J11" s="1042"/>
      <c r="K11" s="896">
        <v>104170346</v>
      </c>
      <c r="L11" s="1067">
        <v>104170346</v>
      </c>
      <c r="N11" s="142"/>
      <c r="O11" s="775" t="s">
        <v>234</v>
      </c>
      <c r="P11" s="776">
        <v>0.97</v>
      </c>
      <c r="Q11" s="753"/>
      <c r="R11" s="777">
        <v>1.372598089052816</v>
      </c>
      <c r="S11" s="778">
        <v>2.7736328397447485</v>
      </c>
      <c r="T11" s="1042"/>
      <c r="U11" s="779">
        <f ca="1"/>
        <v>2.7736328397447485</v>
      </c>
      <c r="V11" s="929">
        <f t="shared" ca="1" si="0"/>
        <v>1.0207173985348761</v>
      </c>
      <c r="W11" s="780">
        <f ca="1"/>
        <v>2.7736328397447485</v>
      </c>
      <c r="X11" s="1070">
        <f t="shared" ca="1" si="1"/>
        <v>0</v>
      </c>
    </row>
    <row r="12" spans="1:24">
      <c r="B12" s="563" t="s">
        <v>285</v>
      </c>
      <c r="C12" s="564"/>
      <c r="D12" s="564"/>
      <c r="E12" s="565"/>
      <c r="F12" s="566">
        <v>278833.2</v>
      </c>
      <c r="G12" s="559"/>
      <c r="H12" s="567">
        <v>167539670.149454</v>
      </c>
      <c r="I12" s="568">
        <v>176990960</v>
      </c>
      <c r="J12" s="1043"/>
      <c r="K12" s="897">
        <v>176990960</v>
      </c>
      <c r="L12" s="899">
        <f>+K12</f>
        <v>176990960</v>
      </c>
      <c r="N12" s="142"/>
      <c r="O12" s="768" t="s">
        <v>235</v>
      </c>
      <c r="P12" s="769">
        <v>3.26</v>
      </c>
      <c r="Q12" s="753"/>
      <c r="R12" s="770">
        <v>4.3074672467522168</v>
      </c>
      <c r="S12" s="771">
        <v>7.5586618182948762</v>
      </c>
      <c r="T12" s="1042"/>
      <c r="U12" s="772">
        <f ca="1"/>
        <v>7.5586618182948762</v>
      </c>
      <c r="V12" s="928">
        <f t="shared" ca="1" si="0"/>
        <v>0.75478103147366338</v>
      </c>
      <c r="W12" s="773">
        <f ca="1"/>
        <v>7.5586618182948762</v>
      </c>
      <c r="X12" s="1069">
        <f t="shared" ca="1" si="1"/>
        <v>0</v>
      </c>
    </row>
    <row r="13" spans="1:24">
      <c r="B13" s="572" t="s">
        <v>328</v>
      </c>
      <c r="C13" s="573"/>
      <c r="D13" s="573"/>
      <c r="E13" s="574"/>
      <c r="F13" s="575"/>
      <c r="G13" s="559"/>
      <c r="H13" s="576">
        <v>0.25</v>
      </c>
      <c r="I13" s="577">
        <v>0.25</v>
      </c>
      <c r="J13" s="1043"/>
      <c r="K13" s="962">
        <v>0.25</v>
      </c>
      <c r="L13" s="967">
        <f t="shared" ref="L13:L15" si="2">K13</f>
        <v>0.25</v>
      </c>
      <c r="N13" s="142"/>
      <c r="O13" s="775" t="s">
        <v>236</v>
      </c>
      <c r="P13" s="776">
        <v>0.97</v>
      </c>
      <c r="Q13" s="753"/>
      <c r="R13" s="777">
        <v>1.372598089052816</v>
      </c>
      <c r="S13" s="778">
        <v>2.7736328397447485</v>
      </c>
      <c r="T13" s="1042"/>
      <c r="U13" s="779">
        <f ca="1"/>
        <v>2.7736328397447485</v>
      </c>
      <c r="V13" s="929">
        <f t="shared" ca="1" si="0"/>
        <v>1.0207173985348761</v>
      </c>
      <c r="W13" s="780">
        <f ca="1"/>
        <v>2.7736328397447485</v>
      </c>
      <c r="X13" s="1070">
        <f t="shared" ca="1" si="1"/>
        <v>0</v>
      </c>
    </row>
    <row r="14" spans="1:24">
      <c r="B14" s="580" t="s">
        <v>293</v>
      </c>
      <c r="C14" s="581"/>
      <c r="D14" s="581"/>
      <c r="E14" s="582"/>
      <c r="F14" s="583"/>
      <c r="G14" s="559"/>
      <c r="H14" s="584">
        <v>0.25</v>
      </c>
      <c r="I14" s="585">
        <v>0.25</v>
      </c>
      <c r="J14" s="1043"/>
      <c r="K14" s="963">
        <v>0.25</v>
      </c>
      <c r="L14" s="970">
        <f t="shared" si="2"/>
        <v>0.25</v>
      </c>
      <c r="N14" s="142"/>
      <c r="O14" s="782" t="s">
        <v>237</v>
      </c>
      <c r="P14" s="783">
        <v>0.88</v>
      </c>
      <c r="Q14" s="753"/>
      <c r="R14" s="784">
        <v>1.2353382801475343</v>
      </c>
      <c r="S14" s="785">
        <v>2.4962695557702737</v>
      </c>
      <c r="T14" s="1042"/>
      <c r="U14" s="786">
        <f ca="1"/>
        <v>2.4962695557702737</v>
      </c>
      <c r="V14" s="930">
        <f t="shared" ca="1" si="0"/>
        <v>1.0207173985348761</v>
      </c>
      <c r="W14" s="787">
        <f ca="1"/>
        <v>2.4962695557702737</v>
      </c>
      <c r="X14" s="1071">
        <f t="shared" ca="1" si="1"/>
        <v>0</v>
      </c>
    </row>
    <row r="15" spans="1:24" ht="15.75" thickBot="1">
      <c r="B15" s="586" t="s">
        <v>224</v>
      </c>
      <c r="C15" s="587"/>
      <c r="D15" s="587"/>
      <c r="E15" s="588"/>
      <c r="F15" s="589">
        <v>0.5</v>
      </c>
      <c r="G15" s="559"/>
      <c r="H15" s="590">
        <v>0.5</v>
      </c>
      <c r="I15" s="591">
        <v>0.5</v>
      </c>
      <c r="J15" s="1043"/>
      <c r="K15" s="964">
        <v>0.5</v>
      </c>
      <c r="L15" s="971">
        <f t="shared" si="2"/>
        <v>0.5</v>
      </c>
      <c r="N15" s="142"/>
      <c r="O15" s="782" t="s">
        <v>238</v>
      </c>
      <c r="P15" s="783">
        <v>3.26</v>
      </c>
      <c r="Q15" s="753"/>
      <c r="R15" s="784">
        <v>4.3074672467522168</v>
      </c>
      <c r="S15" s="785">
        <v>7.5586618182948762</v>
      </c>
      <c r="T15" s="1042"/>
      <c r="U15" s="786">
        <f ca="1"/>
        <v>7.5586618182948762</v>
      </c>
      <c r="V15" s="930">
        <f t="shared" ca="1" si="0"/>
        <v>0.75478103147366338</v>
      </c>
      <c r="W15" s="787">
        <f ca="1"/>
        <v>7.5586618182948762</v>
      </c>
      <c r="X15" s="1071">
        <f t="shared" ca="1" si="1"/>
        <v>0</v>
      </c>
    </row>
    <row r="16" spans="1:24" ht="15.75" thickBot="1">
      <c r="J16" s="559"/>
      <c r="N16" s="142"/>
      <c r="O16" s="768" t="s">
        <v>239</v>
      </c>
      <c r="P16" s="769">
        <v>2.93</v>
      </c>
      <c r="Q16" s="753"/>
      <c r="R16" s="770">
        <v>3.8767205220769951</v>
      </c>
      <c r="S16" s="771">
        <v>6.8027956364653885</v>
      </c>
      <c r="T16" s="1042"/>
      <c r="U16" s="772">
        <f ca="1"/>
        <v>6.8027956364653885</v>
      </c>
      <c r="V16" s="928">
        <f t="shared" ca="1" si="0"/>
        <v>0.75478103147366338</v>
      </c>
      <c r="W16" s="773">
        <f ca="1"/>
        <v>6.8027956364653885</v>
      </c>
      <c r="X16" s="1069">
        <f t="shared" ca="1" si="1"/>
        <v>0</v>
      </c>
    </row>
    <row r="17" spans="2:24" ht="15.75" thickBot="1">
      <c r="B17" s="542" t="s">
        <v>365</v>
      </c>
      <c r="C17" s="543"/>
      <c r="D17" s="544"/>
      <c r="E17" s="544"/>
      <c r="F17" s="545"/>
      <c r="H17" s="535" t="s">
        <v>250</v>
      </c>
      <c r="I17" s="536" t="s">
        <v>252</v>
      </c>
      <c r="J17" s="1043"/>
      <c r="K17" s="539" t="s">
        <v>361</v>
      </c>
      <c r="L17" s="540" t="s">
        <v>362</v>
      </c>
      <c r="N17" s="142"/>
      <c r="O17" s="775" t="s">
        <v>240</v>
      </c>
      <c r="P17" s="776">
        <v>0.97267283143619288</v>
      </c>
      <c r="Q17" s="753"/>
      <c r="R17" s="777">
        <v>1.372598089052816</v>
      </c>
      <c r="S17" s="778">
        <v>2.7736328397447485</v>
      </c>
      <c r="T17" s="1042"/>
      <c r="U17" s="779">
        <f ca="1"/>
        <v>2.7736328397447485</v>
      </c>
      <c r="V17" s="929">
        <f t="shared" ca="1" si="0"/>
        <v>1.0207173985348761</v>
      </c>
      <c r="W17" s="780">
        <f ca="1"/>
        <v>2.7736328397447485</v>
      </c>
      <c r="X17" s="1070">
        <f t="shared" ca="1" si="1"/>
        <v>0</v>
      </c>
    </row>
    <row r="18" spans="2:24" ht="15.75" thickBot="1">
      <c r="B18" s="613"/>
      <c r="D18" s="614"/>
      <c r="E18" s="614"/>
      <c r="H18" s="549">
        <f>rpm_start_year</f>
        <v>2025</v>
      </c>
      <c r="I18" s="550">
        <f>H18+1</f>
        <v>2026</v>
      </c>
      <c r="J18" s="1043"/>
      <c r="K18" s="616">
        <f>H18+1</f>
        <v>2026</v>
      </c>
      <c r="L18" s="617">
        <f>K18+1</f>
        <v>2027</v>
      </c>
      <c r="N18" s="142"/>
      <c r="O18" s="782" t="s">
        <v>241</v>
      </c>
      <c r="P18" s="783">
        <v>0.68</v>
      </c>
      <c r="Q18" s="753"/>
      <c r="R18" s="784">
        <v>1.2353382801475343</v>
      </c>
      <c r="S18" s="785">
        <v>2.4962695557702737</v>
      </c>
      <c r="T18" s="1042"/>
      <c r="U18" s="786">
        <f ca="1"/>
        <v>2.4962695557702737</v>
      </c>
      <c r="V18" s="930">
        <f t="shared" ca="1" si="0"/>
        <v>1.0207173985348761</v>
      </c>
      <c r="W18" s="787">
        <f ca="1"/>
        <v>2.4962695557702737</v>
      </c>
      <c r="X18" s="1071">
        <f t="shared" ca="1" si="1"/>
        <v>0</v>
      </c>
    </row>
    <row r="19" spans="2:24" ht="15.75" thickBot="1">
      <c r="B19" s="618" t="s">
        <v>130</v>
      </c>
      <c r="C19" s="619"/>
      <c r="D19" s="620"/>
      <c r="E19" s="620"/>
      <c r="F19" s="621"/>
      <c r="H19" s="622" t="b">
        <v>1</v>
      </c>
      <c r="I19" s="623" t="b">
        <v>1</v>
      </c>
      <c r="J19" s="1043"/>
      <c r="K19" s="625" t="b">
        <f ca="1">+'CWD 2025_V1'!$G$40</f>
        <v>1</v>
      </c>
      <c r="L19" s="626" t="b">
        <f ca="1">+'CWD 2025_V1'!$G$40</f>
        <v>1</v>
      </c>
      <c r="N19" s="142"/>
      <c r="O19" s="768" t="s">
        <v>242</v>
      </c>
      <c r="P19" s="769">
        <v>4.3451722281982699</v>
      </c>
      <c r="Q19" s="753"/>
      <c r="R19" s="770">
        <v>5.9796699217300029</v>
      </c>
      <c r="S19" s="771">
        <v>10.520923454391017</v>
      </c>
      <c r="T19" s="1042"/>
      <c r="U19" s="772">
        <f ca="1"/>
        <v>10.520923454391017</v>
      </c>
      <c r="V19" s="928">
        <f t="shared" ca="1" si="0"/>
        <v>0.75944886458668703</v>
      </c>
      <c r="W19" s="773">
        <f ca="1"/>
        <v>10.520923454391017</v>
      </c>
      <c r="X19" s="1069">
        <f t="shared" ca="1" si="1"/>
        <v>0</v>
      </c>
    </row>
    <row r="20" spans="2:24" ht="15.75" thickBot="1">
      <c r="B20" s="597"/>
      <c r="C20" s="598"/>
      <c r="F20" s="598"/>
      <c r="H20" s="627"/>
      <c r="I20" s="627"/>
      <c r="J20" s="559"/>
      <c r="K20" s="627"/>
      <c r="L20" s="627"/>
      <c r="N20" s="142"/>
      <c r="O20" s="789" t="s">
        <v>243</v>
      </c>
      <c r="P20" s="790">
        <v>1.23</v>
      </c>
      <c r="Q20" s="753"/>
      <c r="R20" s="791">
        <v>2.1434083293827535</v>
      </c>
      <c r="S20" s="792">
        <v>3.9674104358946902</v>
      </c>
      <c r="T20" s="1042"/>
      <c r="U20" s="793">
        <f ca="1"/>
        <v>3.9674104358946902</v>
      </c>
      <c r="V20" s="931">
        <f t="shared" ca="1" si="0"/>
        <v>0.85098209310271855</v>
      </c>
      <c r="W20" s="794">
        <f ca="1"/>
        <v>3.9674104358946902</v>
      </c>
      <c r="X20" s="1072">
        <f t="shared" ca="1" si="1"/>
        <v>0</v>
      </c>
    </row>
    <row r="21" spans="2:24" ht="15.75" thickBot="1">
      <c r="B21" s="628" t="s">
        <v>356</v>
      </c>
      <c r="C21" s="629"/>
      <c r="D21" s="629"/>
      <c r="E21" s="530" t="s">
        <v>374</v>
      </c>
      <c r="F21" s="868" t="s">
        <v>366</v>
      </c>
      <c r="H21" s="630">
        <v>2</v>
      </c>
      <c r="I21" s="631">
        <v>0.66</v>
      </c>
      <c r="J21" s="1043"/>
      <c r="K21" s="904">
        <v>0.66</v>
      </c>
      <c r="L21" s="905">
        <v>0</v>
      </c>
      <c r="N21" s="142"/>
      <c r="O21" s="796" t="s">
        <v>244</v>
      </c>
      <c r="P21" s="797">
        <v>1.9</v>
      </c>
      <c r="Q21" s="753"/>
      <c r="R21" s="798">
        <v>3.7353308470594149</v>
      </c>
      <c r="S21" s="799">
        <v>6.5473368606946538</v>
      </c>
      <c r="T21" s="1042"/>
      <c r="U21" s="800">
        <f ca="1"/>
        <v>6.5473368606946538</v>
      </c>
      <c r="V21" s="931">
        <f t="shared" ca="1" si="0"/>
        <v>0.75281310512265609</v>
      </c>
      <c r="W21" s="801">
        <f ca="1"/>
        <v>6.5473368606946538</v>
      </c>
      <c r="X21" s="1072">
        <f t="shared" ca="1" si="1"/>
        <v>0</v>
      </c>
    </row>
    <row r="22" spans="2:24">
      <c r="B22" s="632" t="s">
        <v>373</v>
      </c>
      <c r="F22" s="598"/>
      <c r="J22" s="559"/>
      <c r="K22" s="607">
        <f>IF($F$21&lt;&gt;"no",K21,9999%)</f>
        <v>0.66</v>
      </c>
      <c r="L22" s="607">
        <f>IF($F$21&lt;&gt;"no",L21,9999%)</f>
        <v>0</v>
      </c>
      <c r="N22" s="142"/>
      <c r="O22" s="775" t="s">
        <v>245</v>
      </c>
      <c r="P22" s="776">
        <v>0.42</v>
      </c>
      <c r="Q22" s="753"/>
      <c r="R22" s="777">
        <v>1.26</v>
      </c>
      <c r="S22" s="778">
        <v>2.0916000000000001</v>
      </c>
      <c r="T22" s="1042"/>
      <c r="U22" s="779">
        <f ca="1"/>
        <v>2.0916000000000001</v>
      </c>
      <c r="V22" s="929">
        <f t="shared" ca="1" si="0"/>
        <v>0.66000000000000014</v>
      </c>
      <c r="W22" s="780">
        <f ca="1"/>
        <v>2.0916000000000001</v>
      </c>
      <c r="X22" s="1070">
        <f t="shared" ca="1" si="1"/>
        <v>0</v>
      </c>
    </row>
    <row r="23" spans="2:24" ht="15.75" thickBot="1">
      <c r="N23" s="142"/>
      <c r="O23" s="782" t="s">
        <v>246</v>
      </c>
      <c r="P23" s="783">
        <v>0.38</v>
      </c>
      <c r="Q23" s="753"/>
      <c r="R23" s="784">
        <v>1.1340000000000001</v>
      </c>
      <c r="S23" s="785">
        <v>1.8824400000000001</v>
      </c>
      <c r="T23" s="1042"/>
      <c r="U23" s="786">
        <f ca="1"/>
        <v>1.8824400000000001</v>
      </c>
      <c r="V23" s="930">
        <f t="shared" ca="1" si="0"/>
        <v>0.65999999999999992</v>
      </c>
      <c r="W23" s="787">
        <f ca="1"/>
        <v>1.8824400000000001</v>
      </c>
      <c r="X23" s="1071">
        <f t="shared" ca="1" si="1"/>
        <v>0</v>
      </c>
    </row>
    <row r="24" spans="2:24">
      <c r="B24" s="555" t="s">
        <v>123</v>
      </c>
      <c r="C24" s="556"/>
      <c r="D24" s="556"/>
      <c r="E24" s="526" t="s">
        <v>122</v>
      </c>
      <c r="F24" s="633">
        <v>0.20593661848667999</v>
      </c>
      <c r="H24" s="972">
        <v>0.25085771086384911</v>
      </c>
      <c r="I24" s="973">
        <v>0.26385720986315891</v>
      </c>
      <c r="J24" s="1043"/>
      <c r="K24" s="975">
        <f ca="1">'CWD 2026_V1'!$Q$94</f>
        <v>0.26368334294484858</v>
      </c>
      <c r="L24" s="976">
        <f ca="1">'CWD 2027_V1'!$Q$94</f>
        <v>0.26368334294484858</v>
      </c>
      <c r="N24" s="142"/>
      <c r="O24" s="768" t="s">
        <v>247</v>
      </c>
      <c r="P24" s="769">
        <v>3.85</v>
      </c>
      <c r="Q24" s="753"/>
      <c r="R24" s="770">
        <v>4.626999160188296</v>
      </c>
      <c r="S24" s="771">
        <v>7.680818605912572</v>
      </c>
      <c r="T24" s="1042"/>
      <c r="U24" s="772">
        <f ca="1"/>
        <v>7.680818605912572</v>
      </c>
      <c r="V24" s="928">
        <f t="shared" ca="1" si="0"/>
        <v>0.66000000000000014</v>
      </c>
      <c r="W24" s="773">
        <f ca="1"/>
        <v>7.680818605912572</v>
      </c>
      <c r="X24" s="1069">
        <f t="shared" ca="1" si="1"/>
        <v>0</v>
      </c>
    </row>
    <row r="25" spans="2:24">
      <c r="B25" s="580" t="s">
        <v>290</v>
      </c>
      <c r="C25" s="581"/>
      <c r="D25" s="581"/>
      <c r="E25" s="527" t="s">
        <v>122</v>
      </c>
      <c r="F25" s="634">
        <v>0.12288308793152877</v>
      </c>
      <c r="H25" s="977">
        <v>8.6025679538185972E-3</v>
      </c>
      <c r="I25" s="978">
        <v>7.954890977054695E-3</v>
      </c>
      <c r="J25" s="1043"/>
      <c r="K25" s="980">
        <f ca="1">+'CWD 2026_V1'!$C$22</f>
        <v>7.954890977054695E-3</v>
      </c>
      <c r="L25" s="981">
        <f ca="1">+'CWD 2027_V1'!$C$22</f>
        <v>7.954890977054695E-3</v>
      </c>
      <c r="N25" s="142"/>
      <c r="O25" s="775" t="s">
        <v>248</v>
      </c>
      <c r="P25" s="776">
        <v>0.44</v>
      </c>
      <c r="Q25" s="753"/>
      <c r="R25" s="777">
        <v>2.1537336233761084</v>
      </c>
      <c r="S25" s="778">
        <v>3.7793309091474381</v>
      </c>
      <c r="T25" s="1042"/>
      <c r="U25" s="779">
        <f ca="1"/>
        <v>3.7793309091474381</v>
      </c>
      <c r="V25" s="929">
        <f t="shared" ca="1" si="0"/>
        <v>0.75478103147366338</v>
      </c>
      <c r="W25" s="780">
        <f ca="1"/>
        <v>3.7793309091474381</v>
      </c>
      <c r="X25" s="1070">
        <f t="shared" ca="1" si="1"/>
        <v>0</v>
      </c>
    </row>
    <row r="26" spans="2:24" ht="15.75" thickBot="1">
      <c r="B26" s="580" t="s">
        <v>129</v>
      </c>
      <c r="C26" s="581"/>
      <c r="D26" s="581"/>
      <c r="E26" s="527" t="s">
        <v>80</v>
      </c>
      <c r="F26" s="635">
        <v>7.3576194714016587</v>
      </c>
      <c r="H26" s="982">
        <v>8.5329099872100826</v>
      </c>
      <c r="I26" s="983">
        <v>13.948163770385332</v>
      </c>
      <c r="J26" s="1043"/>
      <c r="K26" s="985">
        <f ca="1">+'CWD 2026_V1'!$C$23</f>
        <v>13.948163770385332</v>
      </c>
      <c r="L26" s="986">
        <f ca="1">+'CWD 2027_V1'!$C$23</f>
        <v>13.948163770385332</v>
      </c>
      <c r="N26" s="142"/>
      <c r="O26" s="889" t="s">
        <v>249</v>
      </c>
      <c r="P26" s="890">
        <v>0.44</v>
      </c>
      <c r="Q26" s="753"/>
      <c r="R26" s="891">
        <v>1.0740053140783503</v>
      </c>
      <c r="S26" s="892">
        <v>1.8680227073052884</v>
      </c>
      <c r="T26" s="1042"/>
      <c r="U26" s="893">
        <f ca="1"/>
        <v>1.8680227073052884</v>
      </c>
      <c r="V26" s="932">
        <f t="shared" ca="1" si="0"/>
        <v>0.73930490177166219</v>
      </c>
      <c r="W26" s="894">
        <f ca="1"/>
        <v>1.8680227073052884</v>
      </c>
      <c r="X26" s="1073">
        <f t="shared" ca="1" si="1"/>
        <v>0</v>
      </c>
    </row>
    <row r="27" spans="2:24">
      <c r="B27" s="580" t="s">
        <v>128</v>
      </c>
      <c r="C27" s="581"/>
      <c r="D27" s="581"/>
      <c r="E27" s="527" t="s">
        <v>80</v>
      </c>
      <c r="F27" s="635">
        <v>6.5058278625175996</v>
      </c>
      <c r="H27" s="982">
        <v>8.4598194324334148</v>
      </c>
      <c r="I27" s="983">
        <v>14.05956297677975</v>
      </c>
      <c r="J27" s="1043"/>
      <c r="K27" s="985">
        <f ca="1">+'CWD 2026_V1'!$C$24</f>
        <v>14.05956297677975</v>
      </c>
      <c r="L27" s="986">
        <f ca="1">+'CWD 2027_V1'!$C$24</f>
        <v>14.05956297677975</v>
      </c>
      <c r="N27" s="142"/>
    </row>
    <row r="28" spans="2:24">
      <c r="B28" s="580" t="s">
        <v>289</v>
      </c>
      <c r="C28" s="581"/>
      <c r="D28" s="581"/>
      <c r="E28" s="527" t="s">
        <v>122</v>
      </c>
      <c r="F28" s="634"/>
      <c r="H28" s="977">
        <v>6.330948561074877E-2</v>
      </c>
      <c r="I28" s="978">
        <v>0.11526242020824867</v>
      </c>
      <c r="J28" s="1043"/>
      <c r="K28" s="980">
        <f ca="1">+'CWD 2026_V1'!$C$25</f>
        <v>0.11526242020824867</v>
      </c>
      <c r="L28" s="981">
        <f ca="1">+'CWD 2027_V1'!$C$25</f>
        <v>0.11526242020824867</v>
      </c>
      <c r="N28" s="1040"/>
      <c r="O28" s="867"/>
      <c r="S28" s="753"/>
    </row>
    <row r="29" spans="2:24">
      <c r="B29" s="580" t="s">
        <v>129</v>
      </c>
      <c r="C29" s="581"/>
      <c r="D29" s="581"/>
      <c r="E29" s="527" t="s">
        <v>122</v>
      </c>
      <c r="F29" s="634"/>
      <c r="H29" s="982">
        <v>80.504825070608945</v>
      </c>
      <c r="I29" s="983">
        <v>97.484778778662147</v>
      </c>
      <c r="J29" s="1043"/>
      <c r="K29" s="985">
        <f ca="1">+'CWD 2026_V1'!$C$26</f>
        <v>97.484778778662147</v>
      </c>
      <c r="L29" s="986">
        <f ca="1">+'CWD 2027_V1'!$C$26</f>
        <v>97.484778778662147</v>
      </c>
    </row>
    <row r="30" spans="2:24" ht="15.75" thickBot="1">
      <c r="B30" s="586" t="s">
        <v>128</v>
      </c>
      <c r="C30" s="587"/>
      <c r="D30" s="587"/>
      <c r="E30" s="528" t="s">
        <v>122</v>
      </c>
      <c r="F30" s="636"/>
      <c r="H30" s="987">
        <v>85.768153440873462</v>
      </c>
      <c r="I30" s="988">
        <v>86.860724355771112</v>
      </c>
      <c r="J30" s="1043"/>
      <c r="K30" s="990">
        <f ca="1">+'CWD 2026_V1'!$C$27</f>
        <v>86.860724355771112</v>
      </c>
      <c r="L30" s="991">
        <f ca="1">+'CWD 2027_V1'!$C$27</f>
        <v>86.860724355771112</v>
      </c>
    </row>
    <row r="31" spans="2:24" ht="15.75" thickBot="1">
      <c r="H31" s="607"/>
      <c r="I31" s="607"/>
      <c r="J31" s="559"/>
    </row>
    <row r="32" spans="2:24" ht="15.75" customHeight="1" thickBot="1">
      <c r="B32" s="542" t="s">
        <v>368</v>
      </c>
      <c r="C32" s="543"/>
      <c r="D32" s="544"/>
      <c r="E32" s="544"/>
      <c r="F32" s="545"/>
      <c r="H32" s="535" t="s">
        <v>250</v>
      </c>
      <c r="I32" s="536" t="s">
        <v>252</v>
      </c>
      <c r="J32" s="1043"/>
      <c r="K32" s="539" t="s">
        <v>361</v>
      </c>
      <c r="L32" s="540" t="s">
        <v>362</v>
      </c>
    </row>
    <row r="33" spans="2:24">
      <c r="H33" s="644" t="s">
        <v>110</v>
      </c>
      <c r="I33" s="645"/>
      <c r="J33" s="1043"/>
      <c r="K33" s="965"/>
      <c r="L33" s="966"/>
      <c r="N33" s="1036"/>
    </row>
    <row r="34" spans="2:24" ht="15.75" thickBot="1">
      <c r="H34" s="648">
        <f>rpm_start_year</f>
        <v>2025</v>
      </c>
      <c r="I34" s="649">
        <f>H34+1</f>
        <v>2026</v>
      </c>
      <c r="J34" s="1043"/>
      <c r="K34" s="651">
        <f>H34+1</f>
        <v>2026</v>
      </c>
      <c r="L34" s="652">
        <f>K34+1</f>
        <v>2027</v>
      </c>
      <c r="N34" s="1036"/>
    </row>
    <row r="35" spans="2:24">
      <c r="B35" s="653" t="s">
        <v>26</v>
      </c>
      <c r="C35" s="654" t="s">
        <v>27</v>
      </c>
      <c r="D35" s="654" t="s">
        <v>372</v>
      </c>
      <c r="E35" s="655" t="s">
        <v>283</v>
      </c>
      <c r="F35" s="656"/>
      <c r="H35" s="657" t="s">
        <v>38</v>
      </c>
      <c r="I35" s="658" t="s">
        <v>38</v>
      </c>
      <c r="J35" s="1042"/>
      <c r="K35" s="662" t="s">
        <v>38</v>
      </c>
      <c r="L35" s="663" t="s">
        <v>38</v>
      </c>
      <c r="N35" s="1036"/>
    </row>
    <row r="36" spans="2:24">
      <c r="B36" s="664" t="s">
        <v>0</v>
      </c>
      <c r="C36" s="665" t="s">
        <v>21</v>
      </c>
      <c r="D36" s="665" t="s">
        <v>31</v>
      </c>
      <c r="E36" s="666" t="s">
        <v>1</v>
      </c>
      <c r="F36" s="667"/>
      <c r="H36" s="668">
        <v>15458650.139332194</v>
      </c>
      <c r="I36" s="669">
        <v>3366967</v>
      </c>
      <c r="J36" s="1042"/>
      <c r="K36" s="906">
        <v>3366967</v>
      </c>
      <c r="L36" s="907">
        <v>3366967</v>
      </c>
      <c r="N36" s="1036"/>
    </row>
    <row r="37" spans="2:24">
      <c r="B37" s="671" t="s">
        <v>0</v>
      </c>
      <c r="C37" s="672" t="s">
        <v>21</v>
      </c>
      <c r="D37" s="672" t="s">
        <v>31</v>
      </c>
      <c r="E37" s="673" t="s">
        <v>2</v>
      </c>
      <c r="F37" s="674"/>
      <c r="H37" s="675">
        <v>9945576.720543379</v>
      </c>
      <c r="I37" s="676">
        <v>7618999</v>
      </c>
      <c r="J37" s="1042"/>
      <c r="K37" s="908">
        <v>7618999</v>
      </c>
      <c r="L37" s="909">
        <v>7618999</v>
      </c>
      <c r="N37" s="1036"/>
    </row>
    <row r="38" spans="2:24">
      <c r="B38" s="671" t="s">
        <v>0</v>
      </c>
      <c r="C38" s="672" t="s">
        <v>21</v>
      </c>
      <c r="D38" s="672" t="s">
        <v>31</v>
      </c>
      <c r="E38" s="673" t="s">
        <v>3</v>
      </c>
      <c r="F38" s="674"/>
      <c r="H38" s="675">
        <v>1871337.7898630137</v>
      </c>
      <c r="I38" s="676">
        <v>818029</v>
      </c>
      <c r="J38" s="1042"/>
      <c r="K38" s="908">
        <v>818029</v>
      </c>
      <c r="L38" s="909">
        <v>818029</v>
      </c>
    </row>
    <row r="39" spans="2:24" ht="15.75">
      <c r="B39" s="677" t="s">
        <v>0</v>
      </c>
      <c r="C39" s="678" t="s">
        <v>21</v>
      </c>
      <c r="D39" s="678" t="s">
        <v>31</v>
      </c>
      <c r="E39" s="679" t="s">
        <v>4</v>
      </c>
      <c r="F39" s="680"/>
      <c r="H39" s="681">
        <v>0</v>
      </c>
      <c r="I39" s="682">
        <v>0</v>
      </c>
      <c r="J39" s="1042"/>
      <c r="K39" s="908">
        <v>0</v>
      </c>
      <c r="L39" s="909">
        <v>0</v>
      </c>
      <c r="O39" s="1037" t="s">
        <v>385</v>
      </c>
      <c r="P39" s="1038"/>
      <c r="Q39" s="1038"/>
      <c r="R39" s="1038"/>
      <c r="S39" s="1038"/>
      <c r="T39" s="1038"/>
      <c r="U39" s="1038"/>
      <c r="V39" s="1038"/>
      <c r="W39" s="1038"/>
      <c r="X39" s="1038"/>
    </row>
    <row r="40" spans="2:24" ht="15" customHeight="1">
      <c r="B40" s="677" t="s">
        <v>0</v>
      </c>
      <c r="C40" s="678" t="s">
        <v>21</v>
      </c>
      <c r="D40" s="678" t="s">
        <v>31</v>
      </c>
      <c r="E40" s="679" t="s">
        <v>6</v>
      </c>
      <c r="F40" s="680"/>
      <c r="H40" s="681">
        <v>0</v>
      </c>
      <c r="I40" s="682">
        <v>0</v>
      </c>
      <c r="J40" s="1042"/>
      <c r="K40" s="908">
        <v>0</v>
      </c>
      <c r="L40" s="909">
        <v>0</v>
      </c>
      <c r="O40" s="1047" t="s">
        <v>387</v>
      </c>
      <c r="P40" s="1047"/>
      <c r="Q40" s="1047"/>
      <c r="R40" s="1047"/>
      <c r="S40" s="1047"/>
      <c r="T40" s="1047"/>
      <c r="U40" s="1047"/>
      <c r="V40" s="1047"/>
      <c r="W40" s="1047"/>
      <c r="X40" s="1047"/>
    </row>
    <row r="41" spans="2:24">
      <c r="B41" s="677" t="s">
        <v>0</v>
      </c>
      <c r="C41" s="678" t="s">
        <v>21</v>
      </c>
      <c r="D41" s="678" t="s">
        <v>31</v>
      </c>
      <c r="E41" s="679" t="s">
        <v>5</v>
      </c>
      <c r="F41" s="680"/>
      <c r="H41" s="681">
        <v>0</v>
      </c>
      <c r="I41" s="682">
        <v>0</v>
      </c>
      <c r="J41" s="1042"/>
      <c r="K41" s="908">
        <v>0</v>
      </c>
      <c r="L41" s="909">
        <v>0</v>
      </c>
      <c r="O41" s="1047"/>
      <c r="P41" s="1047"/>
      <c r="Q41" s="1047"/>
      <c r="R41" s="1047"/>
      <c r="S41" s="1047"/>
      <c r="T41" s="1047"/>
      <c r="U41" s="1047"/>
      <c r="V41" s="1047"/>
      <c r="W41" s="1047"/>
      <c r="X41" s="1047"/>
    </row>
    <row r="42" spans="2:24">
      <c r="B42" s="671" t="s">
        <v>0</v>
      </c>
      <c r="C42" s="672" t="s">
        <v>21</v>
      </c>
      <c r="D42" s="672" t="s">
        <v>31</v>
      </c>
      <c r="E42" s="673" t="s">
        <v>95</v>
      </c>
      <c r="F42" s="674"/>
      <c r="H42" s="675">
        <v>4028400.0000000009</v>
      </c>
      <c r="I42" s="676">
        <v>4028400.0000000009</v>
      </c>
      <c r="J42" s="1042"/>
      <c r="K42" s="908">
        <v>4028400.0000000009</v>
      </c>
      <c r="L42" s="909">
        <v>4028400.0000000009</v>
      </c>
      <c r="O42" s="1047"/>
      <c r="P42" s="1047"/>
      <c r="Q42" s="1047"/>
      <c r="R42" s="1047"/>
      <c r="S42" s="1047"/>
      <c r="T42" s="1047"/>
      <c r="U42" s="1047"/>
      <c r="V42" s="1047"/>
      <c r="W42" s="1047"/>
      <c r="X42" s="1047"/>
    </row>
    <row r="43" spans="2:24">
      <c r="B43" s="671" t="s">
        <v>0</v>
      </c>
      <c r="C43" s="683" t="s">
        <v>30</v>
      </c>
      <c r="D43" s="672" t="s">
        <v>31</v>
      </c>
      <c r="E43" s="673" t="s">
        <v>7</v>
      </c>
      <c r="F43" s="674"/>
      <c r="H43" s="675">
        <v>4599480.7206585268</v>
      </c>
      <c r="I43" s="676">
        <v>1975276</v>
      </c>
      <c r="J43" s="1042"/>
      <c r="K43" s="908">
        <v>1975276</v>
      </c>
      <c r="L43" s="909">
        <v>1975276</v>
      </c>
      <c r="O43" s="1047"/>
      <c r="P43" s="1047"/>
      <c r="Q43" s="1047"/>
      <c r="R43" s="1047"/>
      <c r="S43" s="1047"/>
      <c r="T43" s="1047"/>
      <c r="U43" s="1047"/>
      <c r="V43" s="1047"/>
      <c r="W43" s="1047"/>
      <c r="X43" s="1047"/>
    </row>
    <row r="44" spans="2:24">
      <c r="B44" s="671" t="s">
        <v>0</v>
      </c>
      <c r="C44" s="683" t="s">
        <v>30</v>
      </c>
      <c r="D44" s="672" t="s">
        <v>31</v>
      </c>
      <c r="E44" s="673" t="s">
        <v>8</v>
      </c>
      <c r="F44" s="674"/>
      <c r="H44" s="675">
        <v>13795957.000000002</v>
      </c>
      <c r="I44" s="676">
        <v>3366967</v>
      </c>
      <c r="J44" s="1042"/>
      <c r="K44" s="908">
        <v>3366967</v>
      </c>
      <c r="L44" s="909">
        <v>3366967</v>
      </c>
      <c r="O44" s="1047"/>
      <c r="P44" s="1047"/>
      <c r="Q44" s="1047"/>
      <c r="R44" s="1047"/>
      <c r="S44" s="1047"/>
      <c r="T44" s="1047"/>
      <c r="U44" s="1047"/>
      <c r="V44" s="1047"/>
      <c r="W44" s="1047"/>
      <c r="X44" s="1047"/>
    </row>
    <row r="45" spans="2:24">
      <c r="B45" s="671" t="s">
        <v>0</v>
      </c>
      <c r="C45" s="683" t="s">
        <v>30</v>
      </c>
      <c r="D45" s="672" t="s">
        <v>31</v>
      </c>
      <c r="E45" s="673" t="s">
        <v>12</v>
      </c>
      <c r="F45" s="674"/>
      <c r="H45" s="675">
        <v>324117.03253424657</v>
      </c>
      <c r="I45" s="676">
        <v>0</v>
      </c>
      <c r="J45" s="1042"/>
      <c r="K45" s="908">
        <v>0</v>
      </c>
      <c r="L45" s="909">
        <v>0</v>
      </c>
      <c r="O45" s="1041"/>
      <c r="P45" s="1041"/>
      <c r="Q45" s="1041"/>
      <c r="R45" s="1041"/>
      <c r="S45" s="1041"/>
      <c r="T45" s="1041"/>
      <c r="U45" s="1041"/>
      <c r="V45" s="1041"/>
      <c r="W45" s="1041"/>
      <c r="X45" s="1041"/>
    </row>
    <row r="46" spans="2:24">
      <c r="B46" s="671" t="s">
        <v>0</v>
      </c>
      <c r="C46" s="683" t="s">
        <v>30</v>
      </c>
      <c r="D46" s="672" t="s">
        <v>31</v>
      </c>
      <c r="E46" s="673" t="s">
        <v>10</v>
      </c>
      <c r="F46" s="674"/>
      <c r="H46" s="675">
        <v>5747512.6909736302</v>
      </c>
      <c r="I46" s="676">
        <v>3189496</v>
      </c>
      <c r="J46" s="1042"/>
      <c r="K46" s="908">
        <v>3189496</v>
      </c>
      <c r="L46" s="909">
        <v>3189496</v>
      </c>
    </row>
    <row r="47" spans="2:24">
      <c r="B47" s="671" t="s">
        <v>0</v>
      </c>
      <c r="C47" s="683" t="s">
        <v>30</v>
      </c>
      <c r="D47" s="672" t="s">
        <v>31</v>
      </c>
      <c r="E47" s="673" t="s">
        <v>92</v>
      </c>
      <c r="F47" s="674"/>
      <c r="H47" s="681">
        <v>0</v>
      </c>
      <c r="I47" s="682">
        <v>0</v>
      </c>
      <c r="J47" s="1042"/>
      <c r="K47" s="908">
        <v>0</v>
      </c>
      <c r="L47" s="909">
        <v>0</v>
      </c>
    </row>
    <row r="48" spans="2:24">
      <c r="B48" s="671" t="s">
        <v>0</v>
      </c>
      <c r="C48" s="683" t="s">
        <v>30</v>
      </c>
      <c r="D48" s="672" t="s">
        <v>31</v>
      </c>
      <c r="E48" s="673" t="s">
        <v>9</v>
      </c>
      <c r="F48" s="674"/>
      <c r="H48" s="675">
        <v>638698.63013698626</v>
      </c>
      <c r="I48" s="676">
        <v>872840</v>
      </c>
      <c r="J48" s="1042"/>
      <c r="K48" s="908">
        <v>872840</v>
      </c>
      <c r="L48" s="909">
        <v>872840</v>
      </c>
    </row>
    <row r="49" spans="2:12">
      <c r="B49" s="671" t="s">
        <v>0</v>
      </c>
      <c r="C49" s="683" t="s">
        <v>30</v>
      </c>
      <c r="D49" s="672" t="s">
        <v>31</v>
      </c>
      <c r="E49" s="673" t="s">
        <v>11</v>
      </c>
      <c r="F49" s="674"/>
      <c r="H49" s="675">
        <v>21422795</v>
      </c>
      <c r="I49" s="676">
        <v>21422795</v>
      </c>
      <c r="J49" s="1042"/>
      <c r="K49" s="908">
        <v>21422795</v>
      </c>
      <c r="L49" s="909">
        <v>21422795</v>
      </c>
    </row>
    <row r="50" spans="2:12">
      <c r="B50" s="671" t="s">
        <v>0</v>
      </c>
      <c r="C50" s="672" t="s">
        <v>21</v>
      </c>
      <c r="D50" s="683" t="s">
        <v>32</v>
      </c>
      <c r="E50" s="673" t="s">
        <v>96</v>
      </c>
      <c r="F50" s="674"/>
      <c r="H50" s="675">
        <v>3357000</v>
      </c>
      <c r="I50" s="676">
        <v>0</v>
      </c>
      <c r="J50" s="1042"/>
      <c r="K50" s="908">
        <v>0</v>
      </c>
      <c r="L50" s="909">
        <v>0</v>
      </c>
    </row>
    <row r="51" spans="2:12">
      <c r="B51" s="671" t="s">
        <v>0</v>
      </c>
      <c r="C51" s="683" t="s">
        <v>30</v>
      </c>
      <c r="D51" s="683" t="s">
        <v>32</v>
      </c>
      <c r="E51" s="673" t="s">
        <v>99</v>
      </c>
      <c r="F51" s="674"/>
      <c r="H51" s="675">
        <v>6431372.0000000019</v>
      </c>
      <c r="I51" s="676">
        <v>585865</v>
      </c>
      <c r="J51" s="1042"/>
      <c r="K51" s="908">
        <v>585865</v>
      </c>
      <c r="L51" s="909">
        <v>585865</v>
      </c>
    </row>
    <row r="52" spans="2:12">
      <c r="B52" s="671" t="s">
        <v>0</v>
      </c>
      <c r="C52" s="683" t="s">
        <v>30</v>
      </c>
      <c r="D52" s="683" t="s">
        <v>32</v>
      </c>
      <c r="E52" s="673" t="s">
        <v>97</v>
      </c>
      <c r="F52" s="674"/>
      <c r="H52" s="675">
        <v>4635629</v>
      </c>
      <c r="I52" s="676">
        <v>4635629</v>
      </c>
      <c r="J52" s="1042"/>
      <c r="K52" s="908">
        <v>4635629</v>
      </c>
      <c r="L52" s="909">
        <v>4635629</v>
      </c>
    </row>
    <row r="53" spans="2:12">
      <c r="B53" s="671" t="s">
        <v>0</v>
      </c>
      <c r="C53" s="683" t="s">
        <v>30</v>
      </c>
      <c r="D53" s="683" t="s">
        <v>32</v>
      </c>
      <c r="E53" s="673" t="s">
        <v>98</v>
      </c>
      <c r="F53" s="674"/>
      <c r="H53" s="675">
        <v>2378663</v>
      </c>
      <c r="I53" s="676">
        <v>2378663</v>
      </c>
      <c r="J53" s="1042"/>
      <c r="K53" s="908">
        <v>2378663</v>
      </c>
      <c r="L53" s="909">
        <v>2378663</v>
      </c>
    </row>
    <row r="54" spans="2:12">
      <c r="B54" s="671" t="s">
        <v>0</v>
      </c>
      <c r="C54" s="672" t="s">
        <v>21</v>
      </c>
      <c r="D54" s="684" t="s">
        <v>107</v>
      </c>
      <c r="E54" s="673" t="s">
        <v>101</v>
      </c>
      <c r="F54" s="674"/>
      <c r="H54" s="681">
        <v>0</v>
      </c>
      <c r="I54" s="682">
        <v>0</v>
      </c>
      <c r="J54" s="1042"/>
      <c r="K54" s="908">
        <v>0</v>
      </c>
      <c r="L54" s="909">
        <v>0</v>
      </c>
    </row>
    <row r="55" spans="2:12">
      <c r="B55" s="671" t="s">
        <v>0</v>
      </c>
      <c r="C55" s="672" t="s">
        <v>21</v>
      </c>
      <c r="D55" s="684" t="s">
        <v>107</v>
      </c>
      <c r="E55" s="673" t="s">
        <v>102</v>
      </c>
      <c r="F55" s="674"/>
      <c r="H55" s="675">
        <v>7991748.5196698848</v>
      </c>
      <c r="I55" s="676">
        <v>6629423</v>
      </c>
      <c r="J55" s="1042"/>
      <c r="K55" s="908">
        <v>6629423</v>
      </c>
      <c r="L55" s="909">
        <v>6629423</v>
      </c>
    </row>
    <row r="56" spans="2:12">
      <c r="B56" s="671" t="s">
        <v>0</v>
      </c>
      <c r="C56" s="683" t="s">
        <v>30</v>
      </c>
      <c r="D56" s="684" t="s">
        <v>107</v>
      </c>
      <c r="E56" s="673" t="s">
        <v>100</v>
      </c>
      <c r="F56" s="674"/>
      <c r="H56" s="681">
        <v>0</v>
      </c>
      <c r="I56" s="682">
        <v>0</v>
      </c>
      <c r="J56" s="1042"/>
      <c r="K56" s="908">
        <v>0</v>
      </c>
      <c r="L56" s="909">
        <v>0</v>
      </c>
    </row>
    <row r="57" spans="2:12">
      <c r="B57" s="685" t="s">
        <v>0</v>
      </c>
      <c r="C57" s="686" t="s">
        <v>30</v>
      </c>
      <c r="D57" s="687" t="s">
        <v>107</v>
      </c>
      <c r="E57" s="688" t="s">
        <v>103</v>
      </c>
      <c r="F57" s="689"/>
      <c r="H57" s="690">
        <v>7259625.5002553957</v>
      </c>
      <c r="I57" s="691">
        <v>6629423</v>
      </c>
      <c r="J57" s="1042"/>
      <c r="K57" s="902">
        <v>6629423</v>
      </c>
      <c r="L57" s="903">
        <v>6629423</v>
      </c>
    </row>
    <row r="58" spans="2:12">
      <c r="B58" s="692" t="s">
        <v>13</v>
      </c>
      <c r="C58" s="665" t="s">
        <v>21</v>
      </c>
      <c r="D58" s="665" t="s">
        <v>31</v>
      </c>
      <c r="E58" s="666" t="s">
        <v>1</v>
      </c>
      <c r="F58" s="693"/>
      <c r="H58" s="668">
        <v>9211831.2526531722</v>
      </c>
      <c r="I58" s="669">
        <v>8239697</v>
      </c>
      <c r="J58" s="1042"/>
      <c r="K58" s="906">
        <v>8239697</v>
      </c>
      <c r="L58" s="907">
        <v>8239697</v>
      </c>
    </row>
    <row r="59" spans="2:12">
      <c r="B59" s="694" t="s">
        <v>13</v>
      </c>
      <c r="C59" s="672" t="s">
        <v>21</v>
      </c>
      <c r="D59" s="672" t="s">
        <v>31</v>
      </c>
      <c r="E59" s="673" t="s">
        <v>14</v>
      </c>
      <c r="F59" s="674"/>
      <c r="H59" s="675">
        <v>8746377.1931971237</v>
      </c>
      <c r="I59" s="676">
        <v>6234139</v>
      </c>
      <c r="J59" s="1042"/>
      <c r="K59" s="908">
        <v>6234139</v>
      </c>
      <c r="L59" s="909">
        <v>6234139</v>
      </c>
    </row>
    <row r="60" spans="2:12">
      <c r="B60" s="694" t="s">
        <v>13</v>
      </c>
      <c r="C60" s="683" t="s">
        <v>30</v>
      </c>
      <c r="D60" s="672" t="s">
        <v>31</v>
      </c>
      <c r="E60" s="673" t="s">
        <v>15</v>
      </c>
      <c r="F60" s="674"/>
      <c r="H60" s="675">
        <v>6683747</v>
      </c>
      <c r="I60" s="676">
        <v>6683747</v>
      </c>
      <c r="J60" s="1042"/>
      <c r="K60" s="908">
        <v>6683747</v>
      </c>
      <c r="L60" s="909">
        <v>6683747</v>
      </c>
    </row>
    <row r="61" spans="2:12">
      <c r="B61" s="694" t="s">
        <v>13</v>
      </c>
      <c r="C61" s="683" t="s">
        <v>30</v>
      </c>
      <c r="D61" s="672" t="s">
        <v>31</v>
      </c>
      <c r="E61" s="673" t="s">
        <v>11</v>
      </c>
      <c r="F61" s="674"/>
      <c r="H61" s="675">
        <v>3562671.9999999963</v>
      </c>
      <c r="I61" s="676">
        <v>3562671.9999999963</v>
      </c>
      <c r="J61" s="1042"/>
      <c r="K61" s="908">
        <v>3562671.9999999963</v>
      </c>
      <c r="L61" s="909">
        <v>3562671.9999999963</v>
      </c>
    </row>
    <row r="62" spans="2:12">
      <c r="B62" s="694" t="s">
        <v>13</v>
      </c>
      <c r="C62" s="683" t="s">
        <v>30</v>
      </c>
      <c r="D62" s="672" t="s">
        <v>31</v>
      </c>
      <c r="E62" s="673" t="s">
        <v>104</v>
      </c>
      <c r="F62" s="674"/>
      <c r="H62" s="675">
        <v>471870.99999999959</v>
      </c>
      <c r="I62" s="676">
        <v>471870.99999999959</v>
      </c>
      <c r="J62" s="1042"/>
      <c r="K62" s="908">
        <v>471870.99999999959</v>
      </c>
      <c r="L62" s="909">
        <v>471870.99999999959</v>
      </c>
    </row>
    <row r="63" spans="2:12">
      <c r="B63" s="695" t="s">
        <v>13</v>
      </c>
      <c r="C63" s="696" t="s">
        <v>21</v>
      </c>
      <c r="D63" s="686" t="s">
        <v>32</v>
      </c>
      <c r="E63" s="688" t="s">
        <v>108</v>
      </c>
      <c r="F63" s="689"/>
      <c r="H63" s="690">
        <v>521331</v>
      </c>
      <c r="I63" s="691">
        <v>521331</v>
      </c>
      <c r="J63" s="1042"/>
      <c r="K63" s="902">
        <v>521331</v>
      </c>
      <c r="L63" s="903">
        <v>521331</v>
      </c>
    </row>
    <row r="64" spans="2:12">
      <c r="B64" s="697" t="s">
        <v>0</v>
      </c>
      <c r="C64" s="698" t="s">
        <v>30</v>
      </c>
      <c r="D64" s="665" t="s">
        <v>31</v>
      </c>
      <c r="E64" s="666" t="s">
        <v>40</v>
      </c>
      <c r="F64" s="693"/>
      <c r="H64" s="668">
        <v>0</v>
      </c>
      <c r="I64" s="669">
        <v>0</v>
      </c>
      <c r="J64" s="1042"/>
      <c r="K64" s="906">
        <v>0</v>
      </c>
      <c r="L64" s="907">
        <v>0</v>
      </c>
    </row>
    <row r="65" spans="2:12">
      <c r="B65" s="699" t="s">
        <v>0</v>
      </c>
      <c r="C65" s="683" t="s">
        <v>30</v>
      </c>
      <c r="D65" s="684" t="s">
        <v>32</v>
      </c>
      <c r="E65" s="673" t="s">
        <v>40</v>
      </c>
      <c r="F65" s="674"/>
      <c r="H65" s="675">
        <v>4635629</v>
      </c>
      <c r="I65" s="676">
        <v>4635629</v>
      </c>
      <c r="J65" s="1042"/>
      <c r="K65" s="908">
        <v>4635629</v>
      </c>
      <c r="L65" s="909">
        <v>4635629</v>
      </c>
    </row>
    <row r="66" spans="2:12">
      <c r="B66" s="699" t="s">
        <v>0</v>
      </c>
      <c r="C66" s="683" t="s">
        <v>30</v>
      </c>
      <c r="D66" s="672" t="s">
        <v>31</v>
      </c>
      <c r="E66" s="673" t="s">
        <v>41</v>
      </c>
      <c r="F66" s="674"/>
      <c r="H66" s="675">
        <v>0</v>
      </c>
      <c r="I66" s="676">
        <v>0</v>
      </c>
      <c r="J66" s="1042"/>
      <c r="K66" s="908">
        <v>0</v>
      </c>
      <c r="L66" s="909">
        <v>0</v>
      </c>
    </row>
    <row r="67" spans="2:12">
      <c r="B67" s="699" t="s">
        <v>0</v>
      </c>
      <c r="C67" s="683" t="s">
        <v>30</v>
      </c>
      <c r="D67" s="672" t="s">
        <v>31</v>
      </c>
      <c r="E67" s="673" t="s">
        <v>42</v>
      </c>
      <c r="F67" s="674"/>
      <c r="H67" s="675">
        <v>0</v>
      </c>
      <c r="I67" s="676">
        <v>0</v>
      </c>
      <c r="J67" s="1042"/>
      <c r="K67" s="908">
        <v>0</v>
      </c>
      <c r="L67" s="909">
        <v>0</v>
      </c>
    </row>
    <row r="68" spans="2:12">
      <c r="B68" s="699" t="s">
        <v>0</v>
      </c>
      <c r="C68" s="683" t="s">
        <v>30</v>
      </c>
      <c r="D68" s="672" t="s">
        <v>31</v>
      </c>
      <c r="E68" s="673" t="s">
        <v>43</v>
      </c>
      <c r="F68" s="674"/>
      <c r="H68" s="675">
        <v>0</v>
      </c>
      <c r="I68" s="676">
        <v>0</v>
      </c>
      <c r="J68" s="1042"/>
      <c r="K68" s="908">
        <v>0</v>
      </c>
      <c r="L68" s="909">
        <v>0</v>
      </c>
    </row>
    <row r="69" spans="2:12">
      <c r="B69" s="699" t="s">
        <v>0</v>
      </c>
      <c r="C69" s="683" t="s">
        <v>30</v>
      </c>
      <c r="D69" s="672" t="s">
        <v>31</v>
      </c>
      <c r="E69" s="673" t="s">
        <v>44</v>
      </c>
      <c r="F69" s="674"/>
      <c r="H69" s="675">
        <v>0</v>
      </c>
      <c r="I69" s="676">
        <v>0</v>
      </c>
      <c r="J69" s="1042"/>
      <c r="K69" s="908">
        <v>0</v>
      </c>
      <c r="L69" s="909">
        <v>0</v>
      </c>
    </row>
    <row r="70" spans="2:12">
      <c r="B70" s="699" t="s">
        <v>0</v>
      </c>
      <c r="C70" s="683" t="s">
        <v>30</v>
      </c>
      <c r="D70" s="684" t="s">
        <v>32</v>
      </c>
      <c r="E70" s="673" t="s">
        <v>44</v>
      </c>
      <c r="F70" s="674"/>
      <c r="H70" s="675">
        <v>2378663</v>
      </c>
      <c r="I70" s="676">
        <v>2378663</v>
      </c>
      <c r="J70" s="1042"/>
      <c r="K70" s="908">
        <v>2378663</v>
      </c>
      <c r="L70" s="909">
        <v>2378663</v>
      </c>
    </row>
    <row r="71" spans="2:12">
      <c r="B71" s="699" t="s">
        <v>0</v>
      </c>
      <c r="C71" s="683" t="s">
        <v>30</v>
      </c>
      <c r="D71" s="672" t="s">
        <v>31</v>
      </c>
      <c r="E71" s="673" t="s">
        <v>45</v>
      </c>
      <c r="F71" s="674"/>
      <c r="H71" s="675">
        <v>0</v>
      </c>
      <c r="I71" s="676">
        <v>0</v>
      </c>
      <c r="J71" s="1042"/>
      <c r="K71" s="908">
        <v>0</v>
      </c>
      <c r="L71" s="909">
        <v>0</v>
      </c>
    </row>
    <row r="72" spans="2:12">
      <c r="B72" s="700" t="s">
        <v>0</v>
      </c>
      <c r="C72" s="686" t="s">
        <v>30</v>
      </c>
      <c r="D72" s="696" t="s">
        <v>31</v>
      </c>
      <c r="E72" s="688" t="s">
        <v>46</v>
      </c>
      <c r="F72" s="689"/>
      <c r="H72" s="690">
        <v>21422795</v>
      </c>
      <c r="I72" s="691">
        <v>21422795</v>
      </c>
      <c r="J72" s="1042"/>
      <c r="K72" s="902">
        <v>21422795</v>
      </c>
      <c r="L72" s="903">
        <v>21422795</v>
      </c>
    </row>
    <row r="73" spans="2:12">
      <c r="B73" s="692" t="s">
        <v>13</v>
      </c>
      <c r="C73" s="698" t="s">
        <v>30</v>
      </c>
      <c r="D73" s="665" t="s">
        <v>31</v>
      </c>
      <c r="E73" s="666" t="s">
        <v>47</v>
      </c>
      <c r="F73" s="693"/>
      <c r="H73" s="668">
        <v>1111502.9999999988</v>
      </c>
      <c r="I73" s="669">
        <v>1111502.9999999988</v>
      </c>
      <c r="J73" s="1042"/>
      <c r="K73" s="906">
        <v>1111502.9999999988</v>
      </c>
      <c r="L73" s="907">
        <v>1111502.9999999988</v>
      </c>
    </row>
    <row r="74" spans="2:12">
      <c r="B74" s="694" t="s">
        <v>13</v>
      </c>
      <c r="C74" s="683" t="s">
        <v>30</v>
      </c>
      <c r="D74" s="672" t="s">
        <v>31</v>
      </c>
      <c r="E74" s="673" t="s">
        <v>48</v>
      </c>
      <c r="F74" s="674"/>
      <c r="H74" s="675">
        <v>166730.99999999983</v>
      </c>
      <c r="I74" s="676">
        <v>166730.99999999983</v>
      </c>
      <c r="J74" s="1042"/>
      <c r="K74" s="908">
        <v>166730.99999999983</v>
      </c>
      <c r="L74" s="909">
        <v>166730.99999999983</v>
      </c>
    </row>
    <row r="75" spans="2:12">
      <c r="B75" s="694" t="s">
        <v>13</v>
      </c>
      <c r="C75" s="683" t="s">
        <v>30</v>
      </c>
      <c r="D75" s="672" t="s">
        <v>31</v>
      </c>
      <c r="E75" s="673" t="s">
        <v>49</v>
      </c>
      <c r="F75" s="674"/>
      <c r="H75" s="675">
        <v>221438.99999999977</v>
      </c>
      <c r="I75" s="676">
        <v>221438.99999999977</v>
      </c>
      <c r="J75" s="1042"/>
      <c r="K75" s="908">
        <v>221438.99999999977</v>
      </c>
      <c r="L75" s="909">
        <v>221438.99999999977</v>
      </c>
    </row>
    <row r="76" spans="2:12">
      <c r="B76" s="694" t="s">
        <v>13</v>
      </c>
      <c r="C76" s="683" t="s">
        <v>30</v>
      </c>
      <c r="D76" s="672" t="s">
        <v>31</v>
      </c>
      <c r="E76" s="673" t="s">
        <v>50</v>
      </c>
      <c r="F76" s="674"/>
      <c r="H76" s="675">
        <v>1952542.9999999979</v>
      </c>
      <c r="I76" s="676">
        <v>1952542.9999999979</v>
      </c>
      <c r="J76" s="1042"/>
      <c r="K76" s="908">
        <v>1952542.9999999979</v>
      </c>
      <c r="L76" s="909">
        <v>1952542.9999999979</v>
      </c>
    </row>
    <row r="77" spans="2:12">
      <c r="B77" s="694" t="s">
        <v>13</v>
      </c>
      <c r="C77" s="683" t="s">
        <v>30</v>
      </c>
      <c r="D77" s="672" t="s">
        <v>31</v>
      </c>
      <c r="E77" s="673" t="s">
        <v>51</v>
      </c>
      <c r="F77" s="674"/>
      <c r="H77" s="675">
        <v>110455.99999999988</v>
      </c>
      <c r="I77" s="676">
        <v>110455.99999999988</v>
      </c>
      <c r="J77" s="1042"/>
      <c r="K77" s="908">
        <v>110455.99999999988</v>
      </c>
      <c r="L77" s="909">
        <v>110455.99999999988</v>
      </c>
    </row>
    <row r="78" spans="2:12">
      <c r="B78" s="694" t="s">
        <v>13</v>
      </c>
      <c r="C78" s="683" t="s">
        <v>30</v>
      </c>
      <c r="D78" s="672" t="s">
        <v>31</v>
      </c>
      <c r="E78" s="673" t="s">
        <v>52</v>
      </c>
      <c r="F78" s="674"/>
      <c r="H78" s="675">
        <v>55222.999999999942</v>
      </c>
      <c r="I78" s="676">
        <v>55222.999999999942</v>
      </c>
      <c r="J78" s="1042"/>
      <c r="K78" s="908">
        <v>55222.999999999942</v>
      </c>
      <c r="L78" s="909">
        <v>55222.999999999942</v>
      </c>
    </row>
    <row r="79" spans="2:12">
      <c r="B79" s="694" t="s">
        <v>13</v>
      </c>
      <c r="C79" s="683" t="s">
        <v>30</v>
      </c>
      <c r="D79" s="672" t="s">
        <v>31</v>
      </c>
      <c r="E79" s="673" t="s">
        <v>53</v>
      </c>
      <c r="F79" s="674"/>
      <c r="H79" s="675">
        <v>22021.999999999978</v>
      </c>
      <c r="I79" s="676">
        <v>22021.999999999978</v>
      </c>
      <c r="J79" s="1042"/>
      <c r="K79" s="908">
        <v>22021.999999999978</v>
      </c>
      <c r="L79" s="909">
        <v>22021.999999999978</v>
      </c>
    </row>
    <row r="80" spans="2:12">
      <c r="B80" s="694" t="s">
        <v>13</v>
      </c>
      <c r="C80" s="683" t="s">
        <v>30</v>
      </c>
      <c r="D80" s="672" t="s">
        <v>31</v>
      </c>
      <c r="E80" s="673" t="s">
        <v>54</v>
      </c>
      <c r="F80" s="674"/>
      <c r="H80" s="675">
        <v>110086.9999999999</v>
      </c>
      <c r="I80" s="676">
        <v>110086.9999999999</v>
      </c>
      <c r="J80" s="1042"/>
      <c r="K80" s="908">
        <v>110086.9999999999</v>
      </c>
      <c r="L80" s="909">
        <v>110086.9999999999</v>
      </c>
    </row>
    <row r="81" spans="2:12" ht="15.75" thickBot="1">
      <c r="B81" s="701" t="s">
        <v>13</v>
      </c>
      <c r="C81" s="702" t="s">
        <v>30</v>
      </c>
      <c r="D81" s="703" t="s">
        <v>31</v>
      </c>
      <c r="E81" s="704" t="s">
        <v>55</v>
      </c>
      <c r="F81" s="609"/>
      <c r="H81" s="705">
        <v>284538.99999999971</v>
      </c>
      <c r="I81" s="706">
        <v>284538.99999999971</v>
      </c>
      <c r="J81" s="1042"/>
      <c r="K81" s="910">
        <v>284538.99999999971</v>
      </c>
      <c r="L81" s="911">
        <v>284538.99999999971</v>
      </c>
    </row>
    <row r="82" spans="2:12">
      <c r="B82" s="707"/>
      <c r="D82" s="707"/>
      <c r="H82" s="708"/>
      <c r="I82" s="708"/>
      <c r="K82" s="605"/>
      <c r="L82" s="605"/>
    </row>
  </sheetData>
  <sheetProtection algorithmName="SHA-512" hashValue="ACZe4fkkZf/kn+//RWeCT5CgIhmMDzZWacqEheIO/RfbDTdyJN3j0UsyPYS5EOuNAyUuLFPX9ZMod/gZ4MwJfQ==" saltValue="Ga0PpqEFBfw7UHGqnkqSFA==" spinCount="100000" sheet="1" objects="1" scenarios="1" selectLockedCells="1"/>
  <mergeCells count="3">
    <mergeCell ref="O40:X44"/>
    <mergeCell ref="H6:I7"/>
    <mergeCell ref="K6:L7"/>
  </mergeCells>
  <conditionalFormatting sqref="H19:I19 K19:L19">
    <cfRule type="cellIs" dxfId="114" priority="1" operator="equal">
      <formula>FALSE</formula>
    </cfRule>
  </conditionalFormatting>
  <conditionalFormatting sqref="K25:L25">
    <cfRule type="cellIs" dxfId="113" priority="2" operator="greaterThan">
      <formula>0.1</formula>
    </cfRule>
    <cfRule type="cellIs" dxfId="112" priority="3" operator="greaterThan">
      <formula>0.05</formula>
    </cfRule>
  </conditionalFormatting>
  <conditionalFormatting sqref="V9:V26 X9:X26">
    <cfRule type="dataBar" priority="5">
      <dataBar>
        <cfvo type="min"/>
        <cfvo type="max"/>
        <color theme="3" tint="0.59999389629810485"/>
      </dataBar>
      <extLst>
        <ext xmlns:x14="http://schemas.microsoft.com/office/spreadsheetml/2009/9/main" uri="{B025F937-C7B1-47D3-B67F-A62EFF666E3E}">
          <x14:id>{C5D6E444-AFCD-4F8F-A812-8CE2101B2F2F}</x14:id>
        </ext>
      </extLst>
    </cfRule>
  </conditionalFormatting>
  <pageMargins left="0.7" right="0.7" top="0.78740157499999996" bottom="0.78740157499999996" header="0.3" footer="0.3"/>
  <drawing r:id="rId1"/>
  <extLst>
    <ext xmlns:x14="http://schemas.microsoft.com/office/spreadsheetml/2009/9/main" uri="{78C0D931-6437-407d-A8EE-F0AAD7539E65}">
      <x14:conditionalFormattings>
        <x14:conditionalFormatting xmlns:xm="http://schemas.microsoft.com/office/excel/2006/main">
          <x14:cfRule type="dataBar" id="{C5D6E444-AFCD-4F8F-A812-8CE2101B2F2F}">
            <x14:dataBar minLength="0" maxLength="100" gradient="0" axisPosition="middle">
              <x14:cfvo type="autoMin"/>
              <x14:cfvo type="autoMax"/>
              <x14:negativeFillColor theme="5" tint="0.59999389629810485"/>
              <x14:axisColor rgb="FF000000"/>
            </x14:dataBar>
          </x14:cfRule>
          <xm:sqref>V9:V26 X9:X26</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2E1D0966-C320-47B9-8CF9-0F0907C4B432}">
          <x14:formula1>
            <xm:f>Tariff_SimCalculation!$W$5:$W$6</xm:f>
          </x14:formula1>
          <xm:sqref>F21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7D59EE-E11E-4246-886E-3B71B3C6FEA6}">
  <sheetPr>
    <tabColor rgb="FF00B0F0"/>
  </sheetPr>
  <dimension ref="A1:AM154"/>
  <sheetViews>
    <sheetView showGridLines="0" topLeftCell="A44" zoomScale="85" zoomScaleNormal="85" workbookViewId="0">
      <selection activeCell="O55" sqref="O55:O100"/>
    </sheetView>
  </sheetViews>
  <sheetFormatPr baseColWidth="10" defaultRowHeight="15" outlineLevelRow="1" outlineLevelCol="1"/>
  <cols>
    <col min="1" max="1" width="4.140625" style="518" customWidth="1"/>
    <col min="2" max="2" width="11.42578125" style="518"/>
    <col min="3" max="3" width="10.5703125" style="518" customWidth="1"/>
    <col min="4" max="4" width="9.140625" style="518" bestFit="1" customWidth="1"/>
    <col min="5" max="5" width="30.5703125" style="518" customWidth="1"/>
    <col min="6" max="6" width="14" style="518" bestFit="1" customWidth="1"/>
    <col min="7" max="7" width="2.5703125" style="518" customWidth="1"/>
    <col min="8" max="10" width="14.7109375" style="518" customWidth="1"/>
    <col min="11" max="13" width="14.7109375" style="518" hidden="1" customWidth="1" outlineLevel="1"/>
    <col min="14" max="14" width="3.42578125" style="518" customWidth="1" collapsed="1"/>
    <col min="15" max="17" width="14.7109375" style="518" customWidth="1"/>
    <col min="18" max="20" width="14.7109375" style="518" hidden="1" customWidth="1" outlineLevel="1"/>
    <col min="21" max="22" width="3.42578125" style="518" hidden="1" customWidth="1" outlineLevel="1"/>
    <col min="23" max="24" width="11.42578125" style="518" hidden="1" customWidth="1" outlineLevel="1"/>
    <col min="25" max="25" width="18.28515625" style="518" hidden="1" customWidth="1" outlineLevel="1"/>
    <col min="26" max="26" width="3.42578125" style="518" customWidth="1" collapsed="1"/>
    <col min="27" max="27" width="11.42578125" style="518"/>
    <col min="28" max="28" width="17.5703125" style="518" bestFit="1" customWidth="1"/>
    <col min="29" max="29" width="14.85546875" style="518" customWidth="1"/>
    <col min="30" max="30" width="3.42578125" style="518" customWidth="1"/>
    <col min="31" max="33" width="14.85546875" style="518" customWidth="1"/>
    <col min="34" max="34" width="3.42578125" style="518" customWidth="1"/>
    <col min="35" max="36" width="14.85546875" style="518" customWidth="1"/>
    <col min="37" max="37" width="10.85546875" style="518" customWidth="1"/>
    <col min="38" max="38" width="14.85546875" style="518" customWidth="1"/>
    <col min="39" max="39" width="10.85546875" style="518" customWidth="1"/>
    <col min="40" max="16384" width="11.42578125" style="518"/>
  </cols>
  <sheetData>
    <row r="1" spans="1:39" ht="69" customHeight="1" thickBot="1">
      <c r="A1" s="855"/>
      <c r="B1" s="856"/>
      <c r="C1" s="856"/>
      <c r="D1" s="856"/>
      <c r="E1" s="886" t="s">
        <v>379</v>
      </c>
      <c r="F1" s="856"/>
      <c r="G1" s="856"/>
      <c r="H1" s="856"/>
      <c r="I1" s="856"/>
      <c r="J1" s="856"/>
      <c r="K1" s="856"/>
      <c r="L1" s="856"/>
      <c r="M1" s="856"/>
      <c r="N1" s="856"/>
      <c r="O1" s="856"/>
      <c r="P1" s="856"/>
      <c r="Q1" s="856"/>
      <c r="R1" s="856"/>
      <c r="S1" s="856"/>
      <c r="T1" s="856"/>
      <c r="U1" s="856"/>
      <c r="V1" s="856"/>
      <c r="W1" s="856"/>
      <c r="X1" s="543"/>
      <c r="Y1" s="543"/>
      <c r="Z1" s="543"/>
      <c r="AA1" s="543"/>
      <c r="AB1" s="543"/>
      <c r="AC1" s="543"/>
      <c r="AD1" s="543"/>
      <c r="AE1" s="543"/>
      <c r="AF1" s="543"/>
      <c r="AG1" s="543"/>
      <c r="AH1" s="543"/>
      <c r="AI1" s="543"/>
      <c r="AJ1" s="543"/>
      <c r="AK1" s="543"/>
      <c r="AL1" s="543"/>
      <c r="AM1" s="545"/>
    </row>
    <row r="2" spans="1:39" ht="15.75" thickBot="1">
      <c r="W2" s="865">
        <v>2025</v>
      </c>
    </row>
    <row r="3" spans="1:39" ht="24.75" customHeight="1" thickBot="1">
      <c r="B3" s="851" t="s">
        <v>376</v>
      </c>
      <c r="C3" s="852"/>
      <c r="D3" s="852"/>
      <c r="E3" s="852"/>
      <c r="F3" s="852"/>
      <c r="G3" s="852"/>
      <c r="H3" s="852"/>
      <c r="I3" s="852"/>
      <c r="J3" s="852"/>
      <c r="K3" s="852"/>
      <c r="L3" s="852"/>
      <c r="M3" s="852"/>
      <c r="N3" s="852"/>
      <c r="O3" s="852"/>
      <c r="P3" s="852"/>
      <c r="Q3" s="853"/>
      <c r="R3" s="852"/>
      <c r="S3" s="852"/>
      <c r="T3" s="852"/>
      <c r="U3" s="852"/>
      <c r="V3" s="864"/>
      <c r="W3" s="651">
        <v>1</v>
      </c>
      <c r="AA3" s="851" t="s">
        <v>377</v>
      </c>
      <c r="AB3" s="852"/>
      <c r="AC3" s="852"/>
      <c r="AD3" s="852"/>
      <c r="AE3" s="852"/>
      <c r="AF3" s="852"/>
      <c r="AG3" s="852"/>
      <c r="AH3" s="852"/>
      <c r="AI3" s="852"/>
      <c r="AJ3" s="852"/>
      <c r="AK3" s="852"/>
      <c r="AL3" s="852"/>
      <c r="AM3" s="853"/>
    </row>
    <row r="4" spans="1:39" ht="15.75" thickBot="1">
      <c r="B4" s="1040" t="s">
        <v>386</v>
      </c>
      <c r="H4" s="531"/>
      <c r="O4" s="531"/>
      <c r="W4" s="866"/>
    </row>
    <row r="5" spans="1:39" ht="16.5" customHeight="1" thickBot="1">
      <c r="H5" s="1048" t="s">
        <v>384</v>
      </c>
      <c r="I5" s="1049"/>
      <c r="J5" s="1057"/>
      <c r="O5" s="1059" t="s">
        <v>380</v>
      </c>
      <c r="P5" s="1060"/>
      <c r="Q5" s="1061"/>
      <c r="W5" s="559" t="s">
        <v>366</v>
      </c>
      <c r="AA5" s="542" t="s">
        <v>370</v>
      </c>
      <c r="AB5" s="544"/>
      <c r="AC5" s="861" t="s">
        <v>111</v>
      </c>
      <c r="AE5" s="532" t="str">
        <f>H130</f>
        <v>Base-Case (consultation)*</v>
      </c>
      <c r="AF5" s="857"/>
      <c r="AG5" s="858"/>
      <c r="AI5" s="877" t="str">
        <f>O130</f>
        <v>Parameter-Variation (cost &amp; capacity)</v>
      </c>
      <c r="AJ5" s="878"/>
      <c r="AK5" s="878"/>
      <c r="AL5" s="879"/>
      <c r="AM5" s="879"/>
    </row>
    <row r="6" spans="1:39" ht="15.75" customHeight="1" thickBot="1">
      <c r="B6" s="921" t="s">
        <v>382</v>
      </c>
      <c r="C6" s="887"/>
      <c r="D6" s="888"/>
      <c r="E6" s="888"/>
      <c r="H6" s="1050"/>
      <c r="I6" s="1051"/>
      <c r="J6" s="1058"/>
      <c r="O6" s="1062"/>
      <c r="P6" s="1063"/>
      <c r="Q6" s="1064"/>
      <c r="W6" s="559" t="s">
        <v>367</v>
      </c>
      <c r="AA6" s="142"/>
      <c r="AB6" s="598"/>
      <c r="AC6" s="598"/>
      <c r="AE6" s="746">
        <f>rpm_start_year</f>
        <v>2025</v>
      </c>
      <c r="AF6" s="747">
        <f>AE6+1</f>
        <v>2026</v>
      </c>
      <c r="AG6" s="748">
        <f>AF6+1</f>
        <v>2027</v>
      </c>
      <c r="AI6" s="882">
        <f>rpm_start_year</f>
        <v>2025</v>
      </c>
      <c r="AJ6" s="884">
        <f>AI6+1</f>
        <v>2026</v>
      </c>
      <c r="AK6" s="883"/>
      <c r="AL6" s="884">
        <f>AJ6+1</f>
        <v>2027</v>
      </c>
      <c r="AM6" s="885"/>
    </row>
    <row r="7" spans="1:39" ht="15.75" thickBot="1">
      <c r="R7" s="521"/>
      <c r="S7" s="521"/>
      <c r="T7" s="521"/>
      <c r="W7" s="1056" t="s">
        <v>334</v>
      </c>
      <c r="X7" s="1056"/>
      <c r="Y7" s="541"/>
      <c r="AA7" s="142"/>
      <c r="AB7" s="598"/>
      <c r="AC7" s="752" t="s">
        <v>57</v>
      </c>
      <c r="AD7" s="753"/>
      <c r="AE7" s="754" t="s">
        <v>57</v>
      </c>
      <c r="AF7" s="755" t="s">
        <v>57</v>
      </c>
      <c r="AG7" s="756" t="s">
        <v>57</v>
      </c>
      <c r="AI7" s="757" t="s">
        <v>57</v>
      </c>
      <c r="AJ7" s="758" t="s">
        <v>57</v>
      </c>
      <c r="AK7" s="880" t="s">
        <v>378</v>
      </c>
      <c r="AL7" s="758" t="s">
        <v>57</v>
      </c>
      <c r="AM7" s="881" t="s">
        <v>378</v>
      </c>
    </row>
    <row r="8" spans="1:39" ht="15.75" thickBot="1">
      <c r="B8" s="542" t="s">
        <v>364</v>
      </c>
      <c r="C8" s="543"/>
      <c r="D8" s="544"/>
      <c r="E8" s="544"/>
      <c r="F8" s="534" t="s">
        <v>111</v>
      </c>
      <c r="H8" s="535" t="s">
        <v>250</v>
      </c>
      <c r="I8" s="536" t="s">
        <v>252</v>
      </c>
      <c r="J8" s="537" t="s">
        <v>383</v>
      </c>
      <c r="K8" s="521"/>
      <c r="L8" s="521"/>
      <c r="M8" s="521"/>
      <c r="O8" s="538" t="s">
        <v>360</v>
      </c>
      <c r="P8" s="539" t="s">
        <v>361</v>
      </c>
      <c r="Q8" s="540" t="s">
        <v>362</v>
      </c>
      <c r="W8" s="862" t="s">
        <v>22</v>
      </c>
      <c r="X8" s="863">
        <v>1</v>
      </c>
      <c r="AA8" s="142"/>
      <c r="AB8" s="760" t="s">
        <v>232</v>
      </c>
      <c r="AC8" s="761">
        <v>0.84700000000000009</v>
      </c>
      <c r="AD8" s="753"/>
      <c r="AE8" s="762">
        <v>1.372598089052816</v>
      </c>
      <c r="AF8" s="763">
        <v>2.7736328397447485</v>
      </c>
      <c r="AG8" s="1029">
        <v>2.7555613024467158</v>
      </c>
      <c r="AI8" s="764">
        <f ca="1">O133</f>
        <v>1.372598089052816</v>
      </c>
      <c r="AJ8" s="765">
        <f ca="1">P133</f>
        <v>2.7736328397447485</v>
      </c>
      <c r="AK8" s="927">
        <f t="shared" ref="AK8:AK15" ca="1" si="0">+AJ8/AF8-1</f>
        <v>0</v>
      </c>
      <c r="AL8" s="871">
        <f t="shared" ref="AL8:AL15" ca="1" si="1">Q133</f>
        <v>2.7736328397447485</v>
      </c>
      <c r="AM8" s="933">
        <f t="shared" ref="AM8:AM15" ca="1" si="2">+AL8/AG8-1</f>
        <v>6.5582055031716546E-3</v>
      </c>
    </row>
    <row r="9" spans="1:39" ht="15.75" thickBot="1">
      <c r="H9" s="549">
        <f>rpm_start_year</f>
        <v>2025</v>
      </c>
      <c r="I9" s="550">
        <f>H9+1</f>
        <v>2026</v>
      </c>
      <c r="J9" s="1012">
        <f>I9+1</f>
        <v>2027</v>
      </c>
      <c r="K9" s="551"/>
      <c r="L9" s="551"/>
      <c r="M9" s="551"/>
      <c r="O9" s="552">
        <f>rpm_start_year</f>
        <v>2025</v>
      </c>
      <c r="P9" s="553">
        <f>O9+1</f>
        <v>2026</v>
      </c>
      <c r="Q9" s="554">
        <f>P9+1</f>
        <v>2027</v>
      </c>
      <c r="R9" s="432"/>
      <c r="S9" s="432"/>
      <c r="T9" s="432"/>
      <c r="W9" s="547" t="s">
        <v>23</v>
      </c>
      <c r="X9" s="548">
        <v>1</v>
      </c>
      <c r="Y9" s="541"/>
      <c r="AA9" s="142"/>
      <c r="AB9" s="768" t="s">
        <v>233</v>
      </c>
      <c r="AC9" s="769">
        <v>1.2320000000000002</v>
      </c>
      <c r="AD9" s="753"/>
      <c r="AE9" s="770">
        <v>2.1480106281567006</v>
      </c>
      <c r="AF9" s="771">
        <v>3.7360454146105768</v>
      </c>
      <c r="AG9" s="1030">
        <v>3.7117033015919363</v>
      </c>
      <c r="AI9" s="772">
        <f t="shared" ref="AI9:AI15" ca="1" si="3">O134</f>
        <v>2.1480106281567006</v>
      </c>
      <c r="AJ9" s="773">
        <f t="shared" ref="AJ9:AJ15" ca="1" si="4">P134</f>
        <v>3.7360454146105768</v>
      </c>
      <c r="AK9" s="928">
        <f t="shared" ca="1" si="0"/>
        <v>0</v>
      </c>
      <c r="AL9" s="872">
        <f t="shared" ca="1" si="1"/>
        <v>3.7360454146105768</v>
      </c>
      <c r="AM9" s="934">
        <f t="shared" ca="1" si="2"/>
        <v>6.5582055031716546E-3</v>
      </c>
    </row>
    <row r="10" spans="1:39">
      <c r="B10" s="555" t="s">
        <v>284</v>
      </c>
      <c r="C10" s="556"/>
      <c r="D10" s="556"/>
      <c r="E10" s="557"/>
      <c r="F10" s="558">
        <v>126092.6</v>
      </c>
      <c r="G10" s="559"/>
      <c r="H10" s="560">
        <v>99061029.620682895</v>
      </c>
      <c r="I10" s="561">
        <v>104170346</v>
      </c>
      <c r="J10" s="1013">
        <v>104170346</v>
      </c>
      <c r="K10" s="562"/>
      <c r="L10" s="562"/>
      <c r="M10" s="562"/>
      <c r="O10" s="941">
        <v>99061029.620682895</v>
      </c>
      <c r="P10" s="896">
        <f>'Tariff simulation'!K11</f>
        <v>104170346</v>
      </c>
      <c r="Q10" s="898">
        <f>'Tariff simulation'!L11</f>
        <v>104170346</v>
      </c>
      <c r="R10" s="562"/>
      <c r="S10" s="562"/>
      <c r="T10" s="562"/>
      <c r="W10" s="547" t="s">
        <v>24</v>
      </c>
      <c r="X10" s="548">
        <v>1</v>
      </c>
      <c r="Y10" s="541"/>
      <c r="AA10" s="142"/>
      <c r="AB10" s="775" t="s">
        <v>234</v>
      </c>
      <c r="AC10" s="776">
        <v>0.97</v>
      </c>
      <c r="AD10" s="753"/>
      <c r="AE10" s="777">
        <v>1.372598089052816</v>
      </c>
      <c r="AF10" s="778">
        <v>2.7736328397447485</v>
      </c>
      <c r="AG10" s="1031">
        <v>2.7555613024467158</v>
      </c>
      <c r="AI10" s="779">
        <f t="shared" ca="1" si="3"/>
        <v>1.372598089052816</v>
      </c>
      <c r="AJ10" s="780">
        <f t="shared" ca="1" si="4"/>
        <v>2.7736328397447485</v>
      </c>
      <c r="AK10" s="929">
        <f t="shared" ca="1" si="0"/>
        <v>0</v>
      </c>
      <c r="AL10" s="873">
        <f t="shared" ca="1" si="1"/>
        <v>2.7736328397447485</v>
      </c>
      <c r="AM10" s="935">
        <f t="shared" ca="1" si="2"/>
        <v>6.5582055031716546E-3</v>
      </c>
    </row>
    <row r="11" spans="1:39">
      <c r="B11" s="563" t="s">
        <v>285</v>
      </c>
      <c r="C11" s="564"/>
      <c r="D11" s="564"/>
      <c r="E11" s="565"/>
      <c r="F11" s="566">
        <v>278833.2</v>
      </c>
      <c r="G11" s="559"/>
      <c r="H11" s="567">
        <v>167539670.149454</v>
      </c>
      <c r="I11" s="568">
        <v>176990960</v>
      </c>
      <c r="J11" s="1014">
        <v>176990960</v>
      </c>
      <c r="K11" s="562"/>
      <c r="L11" s="562"/>
      <c r="M11" s="562"/>
      <c r="N11" s="559"/>
      <c r="O11" s="942">
        <v>167539670.149454</v>
      </c>
      <c r="P11" s="897">
        <f>'Tariff simulation'!K12</f>
        <v>176990960</v>
      </c>
      <c r="Q11" s="899">
        <f>'Tariff simulation'!L12</f>
        <v>176990960</v>
      </c>
      <c r="R11" s="562"/>
      <c r="S11" s="562"/>
      <c r="T11" s="562"/>
      <c r="W11" s="569" t="s">
        <v>39</v>
      </c>
      <c r="X11" s="570">
        <f>X8</f>
        <v>1</v>
      </c>
      <c r="Y11" s="571" t="s">
        <v>337</v>
      </c>
      <c r="AA11" s="142"/>
      <c r="AB11" s="768" t="s">
        <v>235</v>
      </c>
      <c r="AC11" s="769">
        <v>3.26</v>
      </c>
      <c r="AD11" s="753"/>
      <c r="AE11" s="770">
        <v>4.3074672467522168</v>
      </c>
      <c r="AF11" s="771">
        <v>7.5586618182948762</v>
      </c>
      <c r="AG11" s="1030">
        <v>7.5094135410841467</v>
      </c>
      <c r="AI11" s="772">
        <f t="shared" ca="1" si="3"/>
        <v>4.3074672467522168</v>
      </c>
      <c r="AJ11" s="773">
        <f t="shared" ca="1" si="4"/>
        <v>7.5586618182948762</v>
      </c>
      <c r="AK11" s="928">
        <f t="shared" ca="1" si="0"/>
        <v>0</v>
      </c>
      <c r="AL11" s="872">
        <f t="shared" ca="1" si="1"/>
        <v>7.5586618182948762</v>
      </c>
      <c r="AM11" s="936">
        <f t="shared" ca="1" si="2"/>
        <v>6.5582055031716546E-3</v>
      </c>
    </row>
    <row r="12" spans="1:39">
      <c r="B12" s="572" t="s">
        <v>328</v>
      </c>
      <c r="C12" s="573"/>
      <c r="D12" s="573"/>
      <c r="E12" s="574"/>
      <c r="F12" s="575"/>
      <c r="G12" s="559"/>
      <c r="H12" s="576">
        <v>0.25</v>
      </c>
      <c r="I12" s="577">
        <f>H12</f>
        <v>0.25</v>
      </c>
      <c r="J12" s="1015">
        <f t="shared" ref="J12:J14" si="5">I12</f>
        <v>0.25</v>
      </c>
      <c r="K12" s="578"/>
      <c r="L12" s="579"/>
      <c r="M12" s="579"/>
      <c r="N12" s="559"/>
      <c r="O12" s="943">
        <v>0.25</v>
      </c>
      <c r="P12" s="962">
        <f>'Tariff simulation'!K13</f>
        <v>0.25</v>
      </c>
      <c r="Q12" s="967">
        <f>'Tariff simulation'!L13</f>
        <v>0.25</v>
      </c>
      <c r="R12" s="578"/>
      <c r="S12" s="579"/>
      <c r="T12" s="579"/>
      <c r="W12" s="569" t="s">
        <v>34</v>
      </c>
      <c r="X12" s="570">
        <f>X8</f>
        <v>1</v>
      </c>
      <c r="Y12" s="571" t="s">
        <v>337</v>
      </c>
      <c r="AA12" s="142"/>
      <c r="AB12" s="775" t="s">
        <v>236</v>
      </c>
      <c r="AC12" s="776">
        <v>0.97</v>
      </c>
      <c r="AD12" s="753"/>
      <c r="AE12" s="777">
        <v>1.372598089052816</v>
      </c>
      <c r="AF12" s="778">
        <v>2.7736328397447485</v>
      </c>
      <c r="AG12" s="1031">
        <v>2.7555613024467158</v>
      </c>
      <c r="AI12" s="779">
        <f t="shared" ca="1" si="3"/>
        <v>1.372598089052816</v>
      </c>
      <c r="AJ12" s="780">
        <f t="shared" ca="1" si="4"/>
        <v>2.7736328397447485</v>
      </c>
      <c r="AK12" s="929">
        <f t="shared" ca="1" si="0"/>
        <v>0</v>
      </c>
      <c r="AL12" s="873">
        <f t="shared" ca="1" si="1"/>
        <v>2.7736328397447485</v>
      </c>
      <c r="AM12" s="935">
        <f t="shared" ca="1" si="2"/>
        <v>6.5582055031716546E-3</v>
      </c>
    </row>
    <row r="13" spans="1:39">
      <c r="B13" s="580" t="s">
        <v>293</v>
      </c>
      <c r="C13" s="581"/>
      <c r="D13" s="581"/>
      <c r="E13" s="582"/>
      <c r="F13" s="583"/>
      <c r="G13" s="559"/>
      <c r="H13" s="584">
        <v>0.25</v>
      </c>
      <c r="I13" s="585">
        <f>H13</f>
        <v>0.25</v>
      </c>
      <c r="J13" s="1016">
        <f t="shared" si="5"/>
        <v>0.25</v>
      </c>
      <c r="K13" s="579"/>
      <c r="L13" s="579"/>
      <c r="M13" s="579"/>
      <c r="N13" s="559"/>
      <c r="O13" s="944">
        <v>0.25</v>
      </c>
      <c r="P13" s="962">
        <f>'Tariff simulation'!K14</f>
        <v>0.25</v>
      </c>
      <c r="Q13" s="967">
        <f>'Tariff simulation'!L14</f>
        <v>0.25</v>
      </c>
      <c r="R13" s="579"/>
      <c r="S13" s="579"/>
      <c r="T13" s="579"/>
      <c r="W13" s="569" t="s">
        <v>33</v>
      </c>
      <c r="X13" s="570">
        <f>X14</f>
        <v>1</v>
      </c>
      <c r="Y13" s="571" t="s">
        <v>337</v>
      </c>
      <c r="AA13" s="142"/>
      <c r="AB13" s="782" t="s">
        <v>237</v>
      </c>
      <c r="AC13" s="783">
        <v>0.88</v>
      </c>
      <c r="AD13" s="753"/>
      <c r="AE13" s="784">
        <v>1.2353382801475343</v>
      </c>
      <c r="AF13" s="785">
        <v>2.4962695557702737</v>
      </c>
      <c r="AG13" s="1032">
        <v>2.4800051722020444</v>
      </c>
      <c r="AI13" s="786">
        <f t="shared" ca="1" si="3"/>
        <v>1.2353382801475343</v>
      </c>
      <c r="AJ13" s="787">
        <f t="shared" ca="1" si="4"/>
        <v>2.4962695557702737</v>
      </c>
      <c r="AK13" s="930">
        <f t="shared" ca="1" si="0"/>
        <v>0</v>
      </c>
      <c r="AL13" s="874">
        <f t="shared" ca="1" si="1"/>
        <v>2.4962695557702737</v>
      </c>
      <c r="AM13" s="937">
        <f t="shared" ca="1" si="2"/>
        <v>6.5582055031714326E-3</v>
      </c>
    </row>
    <row r="14" spans="1:39" ht="15.75" thickBot="1">
      <c r="B14" s="586" t="s">
        <v>224</v>
      </c>
      <c r="C14" s="587"/>
      <c r="D14" s="587"/>
      <c r="E14" s="588"/>
      <c r="F14" s="589">
        <v>0.5</v>
      </c>
      <c r="G14" s="559"/>
      <c r="H14" s="590">
        <v>0.5</v>
      </c>
      <c r="I14" s="591">
        <f>H14</f>
        <v>0.5</v>
      </c>
      <c r="J14" s="1017">
        <f t="shared" si="5"/>
        <v>0.5</v>
      </c>
      <c r="K14" s="578"/>
      <c r="L14" s="579"/>
      <c r="M14" s="579"/>
      <c r="N14" s="559"/>
      <c r="O14" s="945">
        <v>0.5</v>
      </c>
      <c r="P14" s="968">
        <f>'Tariff simulation'!K15</f>
        <v>0.5</v>
      </c>
      <c r="Q14" s="969">
        <f>'Tariff simulation'!L15</f>
        <v>0.5</v>
      </c>
      <c r="R14" s="578"/>
      <c r="S14" s="579"/>
      <c r="T14" s="579"/>
      <c r="W14" s="592" t="s">
        <v>20</v>
      </c>
      <c r="X14" s="593">
        <v>1</v>
      </c>
      <c r="Y14" s="541"/>
      <c r="AA14" s="142"/>
      <c r="AB14" s="782" t="s">
        <v>238</v>
      </c>
      <c r="AC14" s="783">
        <v>3.26</v>
      </c>
      <c r="AD14" s="753"/>
      <c r="AE14" s="784">
        <v>4.3074672467522168</v>
      </c>
      <c r="AF14" s="785">
        <v>7.5586618182948762</v>
      </c>
      <c r="AG14" s="1032">
        <v>7.5094135410841467</v>
      </c>
      <c r="AI14" s="786">
        <f t="shared" ca="1" si="3"/>
        <v>4.3074672467522168</v>
      </c>
      <c r="AJ14" s="787">
        <f t="shared" ca="1" si="4"/>
        <v>7.5586618182948762</v>
      </c>
      <c r="AK14" s="930">
        <f t="shared" ca="1" si="0"/>
        <v>0</v>
      </c>
      <c r="AL14" s="874">
        <f t="shared" ca="1" si="1"/>
        <v>7.5586618182948762</v>
      </c>
      <c r="AM14" s="937">
        <f t="shared" ca="1" si="2"/>
        <v>6.5582055031716546E-3</v>
      </c>
    </row>
    <row r="15" spans="1:39" ht="15.75" thickBot="1">
      <c r="N15" s="559"/>
      <c r="W15" s="594"/>
      <c r="X15" s="595"/>
      <c r="Y15" s="541"/>
      <c r="AA15" s="142"/>
      <c r="AB15" s="768" t="s">
        <v>239</v>
      </c>
      <c r="AC15" s="769">
        <v>2.93</v>
      </c>
      <c r="AD15" s="753"/>
      <c r="AE15" s="770">
        <v>3.8767205220769951</v>
      </c>
      <c r="AF15" s="771">
        <v>6.8027956364653885</v>
      </c>
      <c r="AG15" s="1030">
        <v>6.758472186975732</v>
      </c>
      <c r="AI15" s="772">
        <f t="shared" ca="1" si="3"/>
        <v>3.8767205220769951</v>
      </c>
      <c r="AJ15" s="773">
        <f t="shared" ca="1" si="4"/>
        <v>6.8027956364653885</v>
      </c>
      <c r="AK15" s="928">
        <f t="shared" ca="1" si="0"/>
        <v>0</v>
      </c>
      <c r="AL15" s="872">
        <f t="shared" ca="1" si="1"/>
        <v>6.8027956364653885</v>
      </c>
      <c r="AM15" s="936">
        <f t="shared" ca="1" si="2"/>
        <v>6.5582055031716546E-3</v>
      </c>
    </row>
    <row r="16" spans="1:39" ht="15.75" hidden="1" outlineLevel="1" thickBot="1">
      <c r="B16" s="542" t="s">
        <v>371</v>
      </c>
      <c r="C16" s="543"/>
      <c r="D16" s="544"/>
      <c r="E16" s="544"/>
      <c r="F16" s="545"/>
      <c r="H16" s="535" t="s">
        <v>250</v>
      </c>
      <c r="I16" s="536" t="s">
        <v>252</v>
      </c>
      <c r="J16" s="537" t="s">
        <v>383</v>
      </c>
      <c r="K16" s="521"/>
      <c r="L16" s="521"/>
      <c r="M16" s="521"/>
      <c r="N16" s="559"/>
      <c r="O16" s="538" t="s">
        <v>360</v>
      </c>
      <c r="P16" s="539" t="s">
        <v>361</v>
      </c>
      <c r="Q16" s="540" t="s">
        <v>362</v>
      </c>
      <c r="Y16" s="596"/>
      <c r="Z16" s="596"/>
    </row>
    <row r="17" spans="2:39" ht="15.75" hidden="1" outlineLevel="1" thickBot="1">
      <c r="C17" s="597"/>
      <c r="D17" s="598"/>
      <c r="E17" s="598"/>
      <c r="F17" s="598"/>
      <c r="H17" s="549">
        <f>rpm_start_year</f>
        <v>2025</v>
      </c>
      <c r="I17" s="550">
        <f>H17+1</f>
        <v>2026</v>
      </c>
      <c r="J17" s="1012">
        <f>I17+1</f>
        <v>2027</v>
      </c>
      <c r="K17" s="551"/>
      <c r="L17" s="551"/>
      <c r="M17" s="551"/>
      <c r="N17" s="559"/>
      <c r="O17" s="552">
        <f>rpm_start_year</f>
        <v>2025</v>
      </c>
      <c r="P17" s="553">
        <f>O17+1</f>
        <v>2026</v>
      </c>
      <c r="Q17" s="554">
        <f>P17+1</f>
        <v>2027</v>
      </c>
      <c r="R17" s="598"/>
      <c r="S17" s="598"/>
      <c r="T17" s="598"/>
      <c r="Y17" s="541"/>
      <c r="Z17" s="541"/>
    </row>
    <row r="18" spans="2:39" hidden="1" outlineLevel="1">
      <c r="B18" s="833" t="s">
        <v>255</v>
      </c>
      <c r="C18" s="834"/>
      <c r="D18" s="834"/>
      <c r="E18" s="835" t="s">
        <v>59</v>
      </c>
      <c r="F18" s="836"/>
      <c r="H18" s="837">
        <v>33151.947</v>
      </c>
      <c r="I18" s="838">
        <v>21218.859</v>
      </c>
      <c r="J18" s="1018">
        <v>21218.859</v>
      </c>
      <c r="K18" s="599"/>
      <c r="L18" s="599"/>
      <c r="M18" s="599"/>
      <c r="N18" s="559"/>
      <c r="O18" s="946">
        <f>SUM(O19:O20)</f>
        <v>33151.947</v>
      </c>
      <c r="P18" s="925">
        <f>SUM(P19:P20)</f>
        <v>21218.859</v>
      </c>
      <c r="Q18" s="926">
        <f>SUM(Q19:Q20)</f>
        <v>21218.859</v>
      </c>
      <c r="R18" s="599"/>
      <c r="S18" s="599"/>
      <c r="T18" s="599"/>
      <c r="Y18" s="600"/>
      <c r="Z18" s="601"/>
    </row>
    <row r="19" spans="2:39" hidden="1" outlineLevel="1">
      <c r="B19" s="572" t="s">
        <v>125</v>
      </c>
      <c r="C19" s="573"/>
      <c r="D19" s="573"/>
      <c r="E19" s="529" t="s">
        <v>59</v>
      </c>
      <c r="F19" s="830"/>
      <c r="H19" s="831">
        <v>17159.046999999999</v>
      </c>
      <c r="I19" s="832">
        <v>15708.15</v>
      </c>
      <c r="J19" s="1019">
        <v>15708.15</v>
      </c>
      <c r="K19" s="605"/>
      <c r="L19" s="605"/>
      <c r="M19" s="605"/>
      <c r="N19" s="559"/>
      <c r="O19" s="947">
        <v>17159.046999999999</v>
      </c>
      <c r="P19" s="900">
        <v>15708.15</v>
      </c>
      <c r="Q19" s="901">
        <f t="shared" ref="Q19:Q20" si="6">P19</f>
        <v>15708.15</v>
      </c>
      <c r="R19" s="605"/>
      <c r="S19" s="605"/>
      <c r="T19" s="605"/>
    </row>
    <row r="20" spans="2:39" hidden="1" outlineLevel="1">
      <c r="B20" s="563" t="s">
        <v>126</v>
      </c>
      <c r="C20" s="564"/>
      <c r="D20" s="564"/>
      <c r="E20" s="815" t="s">
        <v>59</v>
      </c>
      <c r="F20" s="816"/>
      <c r="H20" s="817">
        <v>15992.9</v>
      </c>
      <c r="I20" s="818">
        <v>5510.7089999999998</v>
      </c>
      <c r="J20" s="1010">
        <v>5510.7089999999998</v>
      </c>
      <c r="K20" s="605"/>
      <c r="L20" s="605"/>
      <c r="M20" s="605"/>
      <c r="N20" s="559"/>
      <c r="O20" s="948">
        <v>15992.9</v>
      </c>
      <c r="P20" s="902">
        <v>5510.7089999999998</v>
      </c>
      <c r="Q20" s="903">
        <f t="shared" si="6"/>
        <v>5510.7089999999998</v>
      </c>
      <c r="R20" s="605"/>
      <c r="S20" s="605"/>
      <c r="T20" s="605"/>
    </row>
    <row r="21" spans="2:39" hidden="1" outlineLevel="1">
      <c r="B21" s="572" t="s">
        <v>294</v>
      </c>
      <c r="C21" s="573"/>
      <c r="D21" s="573"/>
      <c r="E21" s="529" t="s">
        <v>286</v>
      </c>
      <c r="F21" s="830"/>
      <c r="H21" s="831">
        <v>141843856.62629944</v>
      </c>
      <c r="I21" s="832">
        <v>88002927.657000005</v>
      </c>
      <c r="J21" s="1019">
        <v>88002927.657000005</v>
      </c>
      <c r="K21" s="606"/>
      <c r="L21" s="606"/>
      <c r="M21" s="606"/>
      <c r="N21" s="559"/>
      <c r="O21" s="947">
        <f>SUM(O106:O110,O118:O119)/10^3</f>
        <v>141843856.62629944</v>
      </c>
      <c r="P21" s="839">
        <f t="shared" ref="P21:Q21" si="7">SUM(P106:P110,P118:P119)/10^3</f>
        <v>88002927.657000005</v>
      </c>
      <c r="Q21" s="840">
        <f t="shared" si="7"/>
        <v>88002927.657000005</v>
      </c>
      <c r="R21" s="606"/>
      <c r="S21" s="606"/>
      <c r="T21" s="606"/>
    </row>
    <row r="22" spans="2:39" hidden="1" outlineLevel="1">
      <c r="B22" s="580" t="s">
        <v>295</v>
      </c>
      <c r="C22" s="581"/>
      <c r="D22" s="581"/>
      <c r="E22" s="527" t="s">
        <v>286</v>
      </c>
      <c r="F22" s="602"/>
      <c r="H22" s="603">
        <v>66969421.143605702</v>
      </c>
      <c r="I22" s="604">
        <v>10071000</v>
      </c>
      <c r="J22" s="1009">
        <v>10071000</v>
      </c>
      <c r="K22" s="606"/>
      <c r="L22" s="606"/>
      <c r="M22" s="606"/>
      <c r="N22" s="559"/>
      <c r="O22" s="949">
        <f>SUM(O122,O125)/10^3</f>
        <v>66969421.143605702</v>
      </c>
      <c r="P22" s="841">
        <f t="shared" ref="P22:Q22" si="8">SUM(P122,P125)/10^3</f>
        <v>10071000</v>
      </c>
      <c r="Q22" s="842">
        <f t="shared" si="8"/>
        <v>10071000</v>
      </c>
      <c r="R22" s="606"/>
      <c r="S22" s="606"/>
      <c r="T22" s="606"/>
    </row>
    <row r="23" spans="2:39" hidden="1" outlineLevel="1">
      <c r="B23" s="580" t="s">
        <v>296</v>
      </c>
      <c r="C23" s="581"/>
      <c r="D23" s="581"/>
      <c r="E23" s="527" t="s">
        <v>286</v>
      </c>
      <c r="F23" s="602"/>
      <c r="H23" s="603">
        <v>143526581.70153582</v>
      </c>
      <c r="I23" s="604">
        <v>108305106.48</v>
      </c>
      <c r="J23" s="1009">
        <v>108305106.48</v>
      </c>
      <c r="K23" s="606"/>
      <c r="L23" s="606"/>
      <c r="M23" s="606"/>
      <c r="N23" s="559"/>
      <c r="O23" s="949">
        <f>SUM(O111:O117,O120:O121)/10^3</f>
        <v>143526581.70153585</v>
      </c>
      <c r="P23" s="841">
        <f t="shared" ref="P23:Q23" si="9">SUM(P111:P117,P120:P121)/10^3</f>
        <v>108305106.48</v>
      </c>
      <c r="Q23" s="842">
        <f t="shared" si="9"/>
        <v>108305106.48</v>
      </c>
      <c r="R23" s="606"/>
      <c r="S23" s="606"/>
      <c r="T23" s="606"/>
    </row>
    <row r="24" spans="2:39" hidden="1" outlineLevel="1">
      <c r="B24" s="580" t="s">
        <v>297</v>
      </c>
      <c r="C24" s="581"/>
      <c r="D24" s="581"/>
      <c r="E24" s="527" t="s">
        <v>286</v>
      </c>
      <c r="F24" s="602"/>
      <c r="H24" s="603">
        <v>45057614.582033902</v>
      </c>
      <c r="I24" s="604">
        <v>24720142</v>
      </c>
      <c r="J24" s="1009">
        <v>24720142</v>
      </c>
      <c r="K24" s="606"/>
      <c r="L24" s="606"/>
      <c r="M24" s="606"/>
      <c r="N24" s="559"/>
      <c r="O24" s="949">
        <f>SUM(O123:O124)/10^3</f>
        <v>45057614.582033895</v>
      </c>
      <c r="P24" s="841">
        <f t="shared" ref="P24:Q24" si="10">SUM(P123:P124)/10^3</f>
        <v>24720142</v>
      </c>
      <c r="Q24" s="842">
        <f t="shared" si="10"/>
        <v>24720142</v>
      </c>
      <c r="R24" s="606"/>
      <c r="S24" s="606"/>
      <c r="T24" s="606"/>
    </row>
    <row r="25" spans="2:39" hidden="1" outlineLevel="1">
      <c r="B25" s="580" t="s">
        <v>298</v>
      </c>
      <c r="C25" s="581"/>
      <c r="D25" s="581"/>
      <c r="E25" s="527" t="s">
        <v>286</v>
      </c>
      <c r="F25" s="602"/>
      <c r="H25" s="603">
        <v>24553.230893177515</v>
      </c>
      <c r="I25" s="604">
        <v>17716.796676328249</v>
      </c>
      <c r="J25" s="1009">
        <v>17716.796676328249</v>
      </c>
      <c r="K25" s="606"/>
      <c r="L25" s="606"/>
      <c r="M25" s="606"/>
      <c r="N25" s="559"/>
      <c r="O25" s="949">
        <f>(O21*O27+O23*O28)/1000</f>
        <v>24553.230893177515</v>
      </c>
      <c r="P25" s="841">
        <f t="shared" ref="P25:Q25" si="11">(P21*P27+P23*P28)/1000</f>
        <v>17716.796676328249</v>
      </c>
      <c r="Q25" s="842">
        <f t="shared" si="11"/>
        <v>17716.796676328249</v>
      </c>
      <c r="R25" s="606"/>
      <c r="S25" s="606"/>
      <c r="T25" s="606"/>
    </row>
    <row r="26" spans="2:39" hidden="1" outlineLevel="1">
      <c r="B26" s="563" t="s">
        <v>299</v>
      </c>
      <c r="C26" s="564"/>
      <c r="D26" s="564"/>
      <c r="E26" s="815" t="s">
        <v>286</v>
      </c>
      <c r="F26" s="816"/>
      <c r="H26" s="817">
        <v>8598.7161068224868</v>
      </c>
      <c r="I26" s="818">
        <v>3502.0623236717483</v>
      </c>
      <c r="J26" s="1010">
        <v>3502.0623236717483</v>
      </c>
      <c r="K26" s="606"/>
      <c r="L26" s="606"/>
      <c r="M26" s="606"/>
      <c r="N26" s="559"/>
      <c r="O26" s="948">
        <f>(O22*O27+O24*O28)/1000</f>
        <v>8598.7161068224868</v>
      </c>
      <c r="P26" s="843">
        <f t="shared" ref="P26" si="12">(P22*P27+P24*P28)/1000</f>
        <v>3502.0623236717483</v>
      </c>
      <c r="Q26" s="844">
        <f t="shared" ref="Q26" si="13">(Q22*Q27+Q24*Q28)/1000</f>
        <v>3502.0623236717483</v>
      </c>
      <c r="R26" s="606"/>
      <c r="S26" s="606"/>
      <c r="T26" s="606"/>
    </row>
    <row r="27" spans="2:39" hidden="1" outlineLevel="1">
      <c r="B27" s="810" t="s">
        <v>280</v>
      </c>
      <c r="C27" s="811"/>
      <c r="D27" s="811"/>
      <c r="E27" s="529" t="s">
        <v>106</v>
      </c>
      <c r="F27" s="812"/>
      <c r="H27" s="813">
        <v>3.9690899154088619E-2</v>
      </c>
      <c r="I27" s="814">
        <v>5.4088939606380462E-2</v>
      </c>
      <c r="J27" s="1020">
        <v>5.4088939606380462E-2</v>
      </c>
      <c r="K27" s="608"/>
      <c r="L27" s="608"/>
      <c r="M27" s="608"/>
      <c r="N27" s="559"/>
      <c r="O27" s="950">
        <f>O$13*((O19+O20)*1000)/(O21+O22)</f>
        <v>3.9690899154088619E-2</v>
      </c>
      <c r="P27" s="845">
        <f t="shared" ref="P27:Q27" si="14">P$13*((P19+P20)*1000)/(P21+P22)</f>
        <v>5.4088939606380462E-2</v>
      </c>
      <c r="Q27" s="846">
        <f t="shared" si="14"/>
        <v>5.4088939606380462E-2</v>
      </c>
      <c r="R27" s="608"/>
      <c r="S27" s="608"/>
      <c r="T27" s="608"/>
    </row>
    <row r="28" spans="2:39" hidden="1" outlineLevel="1">
      <c r="B28" s="825" t="s">
        <v>279</v>
      </c>
      <c r="C28" s="826"/>
      <c r="D28" s="826"/>
      <c r="E28" s="815" t="s">
        <v>106</v>
      </c>
      <c r="F28" s="827"/>
      <c r="H28" s="828">
        <v>0.13184540772765835</v>
      </c>
      <c r="I28" s="829">
        <v>0.11963250910516171</v>
      </c>
      <c r="J28" s="1021">
        <v>0.11963250910516171</v>
      </c>
      <c r="K28" s="608"/>
      <c r="L28" s="608"/>
      <c r="M28" s="608"/>
      <c r="N28" s="559"/>
      <c r="O28" s="951">
        <f>(1-O$13)*((O19+O20)*1000)/(O23+O24)</f>
        <v>0.13184540772765832</v>
      </c>
      <c r="P28" s="847">
        <f t="shared" ref="P28:Q28" si="15">(1-P$13)*((P19+P20)*1000)/(P23+P24)</f>
        <v>0.11963250910516171</v>
      </c>
      <c r="Q28" s="848">
        <f t="shared" si="15"/>
        <v>0.11963250910516171</v>
      </c>
      <c r="R28" s="608"/>
      <c r="S28" s="608"/>
      <c r="T28" s="608"/>
    </row>
    <row r="29" spans="2:39" ht="15.75" hidden="1" outlineLevel="1" thickBot="1">
      <c r="B29" s="819" t="s">
        <v>254</v>
      </c>
      <c r="C29" s="820"/>
      <c r="D29" s="820"/>
      <c r="E29" s="821"/>
      <c r="F29" s="822"/>
      <c r="H29" s="823">
        <v>7394.1838931775164</v>
      </c>
      <c r="I29" s="824">
        <v>2008.6466763282497</v>
      </c>
      <c r="J29" s="1022">
        <v>2008.6466763282497</v>
      </c>
      <c r="N29" s="559"/>
      <c r="O29" s="952">
        <f>(O21*O27+O23*O28)/1000-O19</f>
        <v>7394.1838931775164</v>
      </c>
      <c r="P29" s="849">
        <f>(P21*P27+P23*P28)/1000-P19</f>
        <v>2008.6466763282497</v>
      </c>
      <c r="Q29" s="850">
        <f>(Q21*Q27+Q23*Q28)/1000-Q19</f>
        <v>2008.6466763282497</v>
      </c>
    </row>
    <row r="30" spans="2:39" ht="15.75" hidden="1" outlineLevel="1" thickBot="1">
      <c r="N30" s="559"/>
    </row>
    <row r="31" spans="2:39" ht="15.75" collapsed="1" thickBot="1">
      <c r="B31" s="542" t="s">
        <v>365</v>
      </c>
      <c r="C31" s="543"/>
      <c r="D31" s="544"/>
      <c r="E31" s="544"/>
      <c r="F31" s="545"/>
      <c r="H31" s="535" t="s">
        <v>250</v>
      </c>
      <c r="I31" s="536" t="s">
        <v>252</v>
      </c>
      <c r="J31" s="537" t="s">
        <v>383</v>
      </c>
      <c r="K31" s="521"/>
      <c r="L31" s="521"/>
      <c r="M31" s="521"/>
      <c r="N31" s="559"/>
      <c r="O31" s="538" t="s">
        <v>360</v>
      </c>
      <c r="P31" s="539" t="s">
        <v>361</v>
      </c>
      <c r="Q31" s="540" t="s">
        <v>362</v>
      </c>
      <c r="AA31" s="142"/>
      <c r="AB31" s="775" t="s">
        <v>240</v>
      </c>
      <c r="AC31" s="776">
        <v>0.97267283143619288</v>
      </c>
      <c r="AD31" s="753"/>
      <c r="AE31" s="777">
        <v>1.372598089052816</v>
      </c>
      <c r="AF31" s="778">
        <v>2.7736328397447485</v>
      </c>
      <c r="AG31" s="1031">
        <v>2.7555613024467158</v>
      </c>
      <c r="AI31" s="779">
        <f t="shared" ref="AI31:AI40" ca="1" si="16">O141</f>
        <v>1.372598089052816</v>
      </c>
      <c r="AJ31" s="780">
        <f t="shared" ref="AJ31:AJ40" ca="1" si="17">P141</f>
        <v>2.7736328397447485</v>
      </c>
      <c r="AK31" s="929">
        <f t="shared" ref="AK31:AK40" ca="1" si="18">+AJ31/AF31-1</f>
        <v>0</v>
      </c>
      <c r="AL31" s="873">
        <f t="shared" ref="AL31:AL40" ca="1" si="19">Q141</f>
        <v>2.7736328397447485</v>
      </c>
      <c r="AM31" s="938">
        <f t="shared" ref="AM31:AM40" ca="1" si="20">+AL31/AG31-1</f>
        <v>6.5582055031716546E-3</v>
      </c>
    </row>
    <row r="32" spans="2:39" ht="15.75" thickBot="1">
      <c r="B32" s="613"/>
      <c r="D32" s="614"/>
      <c r="E32" s="614"/>
      <c r="H32" s="549">
        <f>rpm_start_year</f>
        <v>2025</v>
      </c>
      <c r="I32" s="550">
        <f>H32+1</f>
        <v>2026</v>
      </c>
      <c r="J32" s="1012">
        <f>I32+1</f>
        <v>2027</v>
      </c>
      <c r="K32" s="551"/>
      <c r="L32" s="551"/>
      <c r="M32" s="551"/>
      <c r="N32" s="559"/>
      <c r="O32" s="615">
        <f>rpm_start_year</f>
        <v>2025</v>
      </c>
      <c r="P32" s="616">
        <f>O32+1</f>
        <v>2026</v>
      </c>
      <c r="Q32" s="617">
        <f>P32+1</f>
        <v>2027</v>
      </c>
      <c r="AA32" s="142"/>
      <c r="AB32" s="782" t="s">
        <v>241</v>
      </c>
      <c r="AC32" s="783">
        <v>0.68</v>
      </c>
      <c r="AD32" s="753"/>
      <c r="AE32" s="784">
        <v>1.2353382801475343</v>
      </c>
      <c r="AF32" s="785">
        <v>2.4962695557702737</v>
      </c>
      <c r="AG32" s="1032">
        <v>2.4800051722020444</v>
      </c>
      <c r="AI32" s="786">
        <f t="shared" ca="1" si="16"/>
        <v>1.2353382801475343</v>
      </c>
      <c r="AJ32" s="787">
        <f t="shared" ca="1" si="17"/>
        <v>2.4962695557702737</v>
      </c>
      <c r="AK32" s="930">
        <f t="shared" ca="1" si="18"/>
        <v>0</v>
      </c>
      <c r="AL32" s="874">
        <f t="shared" ca="1" si="19"/>
        <v>2.4962695557702737</v>
      </c>
      <c r="AM32" s="937">
        <f t="shared" ca="1" si="20"/>
        <v>6.5582055031714326E-3</v>
      </c>
    </row>
    <row r="33" spans="2:39" ht="15.75" thickBot="1">
      <c r="B33" s="618" t="s">
        <v>130</v>
      </c>
      <c r="C33" s="619"/>
      <c r="D33" s="620"/>
      <c r="E33" s="620"/>
      <c r="F33" s="621"/>
      <c r="H33" s="622" t="b">
        <v>1</v>
      </c>
      <c r="I33" s="623" t="b">
        <v>1</v>
      </c>
      <c r="J33" s="1023" t="b">
        <v>1</v>
      </c>
      <c r="N33" s="559"/>
      <c r="O33" s="624" t="b">
        <f ca="1">+'CWD 2025_V1'!$G$40</f>
        <v>1</v>
      </c>
      <c r="P33" s="625" t="b">
        <f ca="1">+'CWD 2025_V1'!$G$40</f>
        <v>1</v>
      </c>
      <c r="Q33" s="626" t="b">
        <f ca="1">+'CWD 2025_V1'!$G$40</f>
        <v>1</v>
      </c>
      <c r="AA33" s="142"/>
      <c r="AB33" s="768" t="s">
        <v>242</v>
      </c>
      <c r="AC33" s="769">
        <v>4.3451722281982699</v>
      </c>
      <c r="AD33" s="753"/>
      <c r="AE33" s="770">
        <v>5.9796699217300029</v>
      </c>
      <c r="AF33" s="771">
        <v>10.520923454391017</v>
      </c>
      <c r="AG33" s="1030">
        <v>10.45237463354807</v>
      </c>
      <c r="AI33" s="772">
        <f t="shared" ca="1" si="16"/>
        <v>5.9796699217300029</v>
      </c>
      <c r="AJ33" s="773">
        <f t="shared" ca="1" si="17"/>
        <v>10.520923454391017</v>
      </c>
      <c r="AK33" s="928">
        <f t="shared" ca="1" si="18"/>
        <v>0</v>
      </c>
      <c r="AL33" s="872">
        <f t="shared" ca="1" si="19"/>
        <v>10.520923454391017</v>
      </c>
      <c r="AM33" s="934">
        <f t="shared" ca="1" si="20"/>
        <v>6.5582055031716546E-3</v>
      </c>
    </row>
    <row r="34" spans="2:39" ht="15.75" thickBot="1">
      <c r="B34" s="597"/>
      <c r="C34" s="598"/>
      <c r="F34" s="598"/>
      <c r="H34" s="627"/>
      <c r="I34" s="627"/>
      <c r="J34" s="627"/>
      <c r="N34" s="559"/>
      <c r="O34" s="627"/>
      <c r="P34" s="627"/>
      <c r="Q34" s="627"/>
      <c r="AA34" s="142"/>
      <c r="AB34" s="789" t="s">
        <v>243</v>
      </c>
      <c r="AC34" s="790">
        <v>1.23</v>
      </c>
      <c r="AD34" s="753"/>
      <c r="AE34" s="791">
        <v>2.1434083293827535</v>
      </c>
      <c r="AF34" s="792">
        <v>3.9674104358946902</v>
      </c>
      <c r="AG34" s="1033">
        <v>3.9415608697078865</v>
      </c>
      <c r="AI34" s="793">
        <f t="shared" ca="1" si="16"/>
        <v>2.1434083293827535</v>
      </c>
      <c r="AJ34" s="794">
        <f t="shared" ca="1" si="17"/>
        <v>3.9674104358946902</v>
      </c>
      <c r="AK34" s="931">
        <f t="shared" ca="1" si="18"/>
        <v>0</v>
      </c>
      <c r="AL34" s="875">
        <f t="shared" ca="1" si="19"/>
        <v>3.9674104358946902</v>
      </c>
      <c r="AM34" s="939">
        <f t="shared" ca="1" si="20"/>
        <v>6.5582055031714326E-3</v>
      </c>
    </row>
    <row r="35" spans="2:39" ht="15.75" thickBot="1">
      <c r="B35" s="628" t="s">
        <v>356</v>
      </c>
      <c r="C35" s="629"/>
      <c r="D35" s="629"/>
      <c r="E35" s="530" t="s">
        <v>374</v>
      </c>
      <c r="F35" s="868" t="str">
        <f>'Tariff simulation'!F21</f>
        <v>YES</v>
      </c>
      <c r="H35" s="630">
        <v>2</v>
      </c>
      <c r="I35" s="631">
        <v>0.66</v>
      </c>
      <c r="J35" s="1024">
        <v>0.02</v>
      </c>
      <c r="N35" s="559"/>
      <c r="O35" s="961">
        <v>2</v>
      </c>
      <c r="P35" s="904">
        <f>+'Tariff simulation'!K21</f>
        <v>0.66</v>
      </c>
      <c r="Q35" s="1044">
        <f>+'Tariff simulation'!L21</f>
        <v>0</v>
      </c>
      <c r="AA35" s="142"/>
      <c r="AB35" s="796" t="s">
        <v>244</v>
      </c>
      <c r="AC35" s="797">
        <v>1.9</v>
      </c>
      <c r="AD35" s="753"/>
      <c r="AE35" s="798">
        <v>3.7353308470594149</v>
      </c>
      <c r="AF35" s="799">
        <v>6.5473368606946538</v>
      </c>
      <c r="AG35" s="1034">
        <v>6.5046778466444328</v>
      </c>
      <c r="AI35" s="800">
        <f t="shared" ca="1" si="16"/>
        <v>3.7353308470594149</v>
      </c>
      <c r="AJ35" s="801">
        <f t="shared" ca="1" si="17"/>
        <v>6.5473368606946538</v>
      </c>
      <c r="AK35" s="931">
        <f t="shared" ca="1" si="18"/>
        <v>0</v>
      </c>
      <c r="AL35" s="876">
        <f t="shared" ca="1" si="19"/>
        <v>6.5473368606946538</v>
      </c>
      <c r="AM35" s="939">
        <f t="shared" ca="1" si="20"/>
        <v>6.5582055031714326E-3</v>
      </c>
    </row>
    <row r="36" spans="2:39">
      <c r="B36" s="632" t="s">
        <v>373</v>
      </c>
      <c r="F36" s="598"/>
      <c r="N36" s="559"/>
      <c r="O36" s="607">
        <f>IF($F$35&lt;&gt;"no",O35,9999%)</f>
        <v>2</v>
      </c>
      <c r="P36" s="607">
        <f>IF($F$35&lt;&gt;"no",P35,9999%)</f>
        <v>0.66</v>
      </c>
      <c r="Q36" s="607">
        <f>IF($F$35&lt;&gt;"no",Q35,9999%)</f>
        <v>0</v>
      </c>
      <c r="AA36" s="142"/>
      <c r="AB36" s="775" t="s">
        <v>245</v>
      </c>
      <c r="AC36" s="776">
        <v>0.42</v>
      </c>
      <c r="AD36" s="753"/>
      <c r="AE36" s="777">
        <v>1.26</v>
      </c>
      <c r="AF36" s="778">
        <v>2.0916000000000001</v>
      </c>
      <c r="AG36" s="1031">
        <v>2.133432</v>
      </c>
      <c r="AI36" s="779">
        <f t="shared" ca="1" si="16"/>
        <v>1.26</v>
      </c>
      <c r="AJ36" s="780">
        <f t="shared" ca="1" si="17"/>
        <v>2.0916000000000001</v>
      </c>
      <c r="AK36" s="929">
        <f t="shared" ca="1" si="18"/>
        <v>0</v>
      </c>
      <c r="AL36" s="873">
        <f t="shared" ca="1" si="19"/>
        <v>2.0916000000000001</v>
      </c>
      <c r="AM36" s="935">
        <f t="shared" ca="1" si="20"/>
        <v>-1.9607843137254832E-2</v>
      </c>
    </row>
    <row r="37" spans="2:39" ht="15.75" thickBot="1">
      <c r="AA37" s="142"/>
      <c r="AB37" s="782" t="s">
        <v>246</v>
      </c>
      <c r="AC37" s="783">
        <v>0.38</v>
      </c>
      <c r="AD37" s="753"/>
      <c r="AE37" s="784">
        <v>1.1340000000000001</v>
      </c>
      <c r="AF37" s="785">
        <v>1.8824400000000001</v>
      </c>
      <c r="AG37" s="1032">
        <v>1.9200888</v>
      </c>
      <c r="AI37" s="786">
        <f t="shared" ca="1" si="16"/>
        <v>1.1340000000000001</v>
      </c>
      <c r="AJ37" s="787">
        <f t="shared" ca="1" si="17"/>
        <v>1.8824400000000001</v>
      </c>
      <c r="AK37" s="930">
        <f t="shared" ca="1" si="18"/>
        <v>0</v>
      </c>
      <c r="AL37" s="874">
        <f t="shared" ca="1" si="19"/>
        <v>1.8824400000000001</v>
      </c>
      <c r="AM37" s="937">
        <f t="shared" ca="1" si="20"/>
        <v>-1.9607843137254832E-2</v>
      </c>
    </row>
    <row r="38" spans="2:39">
      <c r="B38" s="555" t="s">
        <v>123</v>
      </c>
      <c r="C38" s="556"/>
      <c r="D38" s="556"/>
      <c r="E38" s="526" t="s">
        <v>122</v>
      </c>
      <c r="F38" s="633">
        <v>0.20593661848667999</v>
      </c>
      <c r="H38" s="972">
        <v>0.25085771086384911</v>
      </c>
      <c r="I38" s="973">
        <v>0.26385720986315891</v>
      </c>
      <c r="J38" s="1025">
        <v>0.26213805463068934</v>
      </c>
      <c r="K38" s="559"/>
      <c r="L38" s="559"/>
      <c r="M38" s="559"/>
      <c r="N38" s="559"/>
      <c r="O38" s="974">
        <f ca="1">'CWD 2025_V1'!$Q$94</f>
        <v>0.25085771086384911</v>
      </c>
      <c r="P38" s="975">
        <f ca="1">'CWD 2026_V1'!$Q$94</f>
        <v>0.26368334294484858</v>
      </c>
      <c r="Q38" s="976">
        <f ca="1">'CWD 2027_V1'!$Q$94</f>
        <v>0.26368334294484858</v>
      </c>
      <c r="AA38" s="142"/>
      <c r="AB38" s="768" t="s">
        <v>247</v>
      </c>
      <c r="AC38" s="769">
        <v>3.85</v>
      </c>
      <c r="AD38" s="753"/>
      <c r="AE38" s="770">
        <v>4.626999160188296</v>
      </c>
      <c r="AF38" s="771">
        <v>7.680818605912572</v>
      </c>
      <c r="AG38" s="1030">
        <v>7.8344349780308233</v>
      </c>
      <c r="AI38" s="772">
        <f t="shared" ca="1" si="16"/>
        <v>4.626999160188296</v>
      </c>
      <c r="AJ38" s="773">
        <f t="shared" ca="1" si="17"/>
        <v>7.680818605912572</v>
      </c>
      <c r="AK38" s="928">
        <f t="shared" ca="1" si="18"/>
        <v>0</v>
      </c>
      <c r="AL38" s="872">
        <f t="shared" ca="1" si="19"/>
        <v>7.680818605912572</v>
      </c>
      <c r="AM38" s="936">
        <f t="shared" ca="1" si="20"/>
        <v>-1.9607843137254832E-2</v>
      </c>
    </row>
    <row r="39" spans="2:39">
      <c r="B39" s="580" t="s">
        <v>290</v>
      </c>
      <c r="C39" s="581"/>
      <c r="D39" s="581"/>
      <c r="E39" s="527" t="s">
        <v>122</v>
      </c>
      <c r="F39" s="634">
        <v>0.12288308793152877</v>
      </c>
      <c r="H39" s="977">
        <v>8.6025679538185972E-3</v>
      </c>
      <c r="I39" s="978">
        <v>7.954890977054695E-3</v>
      </c>
      <c r="J39" s="1026">
        <v>1.0852950038172658E-2</v>
      </c>
      <c r="K39" s="559"/>
      <c r="L39" s="559"/>
      <c r="M39" s="559"/>
      <c r="N39" s="559"/>
      <c r="O39" s="979">
        <f ca="1">+'CWD 2025_V1'!$C$22</f>
        <v>8.6025679538185972E-3</v>
      </c>
      <c r="P39" s="980">
        <f ca="1">+'CWD 2026_V1'!$C$22</f>
        <v>7.954890977054695E-3</v>
      </c>
      <c r="Q39" s="981">
        <f ca="1">+'CWD 2027_V1'!$C$22</f>
        <v>7.954890977054695E-3</v>
      </c>
      <c r="AA39" s="142"/>
      <c r="AB39" s="775" t="s">
        <v>248</v>
      </c>
      <c r="AC39" s="776">
        <v>0.44</v>
      </c>
      <c r="AD39" s="753"/>
      <c r="AE39" s="777">
        <v>2.1537336233761084</v>
      </c>
      <c r="AF39" s="778">
        <v>3.7793309091474381</v>
      </c>
      <c r="AG39" s="1031">
        <v>3.7547067705420734</v>
      </c>
      <c r="AI39" s="779">
        <f t="shared" ca="1" si="16"/>
        <v>2.1537336233761084</v>
      </c>
      <c r="AJ39" s="780">
        <f t="shared" ca="1" si="17"/>
        <v>3.7793309091474381</v>
      </c>
      <c r="AK39" s="929">
        <f t="shared" ca="1" si="18"/>
        <v>0</v>
      </c>
      <c r="AL39" s="873">
        <f t="shared" ca="1" si="19"/>
        <v>3.7793309091474381</v>
      </c>
      <c r="AM39" s="935">
        <f t="shared" ca="1" si="20"/>
        <v>6.5582055031716546E-3</v>
      </c>
    </row>
    <row r="40" spans="2:39" ht="15.75" thickBot="1">
      <c r="B40" s="580" t="s">
        <v>129</v>
      </c>
      <c r="C40" s="581"/>
      <c r="D40" s="581"/>
      <c r="E40" s="527" t="s">
        <v>80</v>
      </c>
      <c r="F40" s="635">
        <v>7.3576194714016587</v>
      </c>
      <c r="H40" s="982">
        <v>8.5329099872100826</v>
      </c>
      <c r="I40" s="983">
        <v>13.948163770385332</v>
      </c>
      <c r="J40" s="1027">
        <v>14.120378895982487</v>
      </c>
      <c r="K40" s="559"/>
      <c r="L40" s="559"/>
      <c r="M40" s="559"/>
      <c r="N40" s="559"/>
      <c r="O40" s="984">
        <f ca="1">+'CWD 2025_V1'!$C$23</f>
        <v>8.5329099872100826</v>
      </c>
      <c r="P40" s="985">
        <f ca="1">+'CWD 2026_V1'!$C$23</f>
        <v>13.948163770385332</v>
      </c>
      <c r="Q40" s="986">
        <f ca="1">+'CWD 2027_V1'!$C$23</f>
        <v>13.948163770385332</v>
      </c>
      <c r="AA40" s="142"/>
      <c r="AB40" s="889" t="s">
        <v>249</v>
      </c>
      <c r="AC40" s="890">
        <v>0.44</v>
      </c>
      <c r="AD40" s="753"/>
      <c r="AE40" s="891">
        <v>1.0740053140783503</v>
      </c>
      <c r="AF40" s="892">
        <v>1.8680227073052884</v>
      </c>
      <c r="AG40" s="1035">
        <v>1.8558516507959681</v>
      </c>
      <c r="AI40" s="893">
        <f t="shared" ca="1" si="16"/>
        <v>1.0740053140783503</v>
      </c>
      <c r="AJ40" s="894">
        <f t="shared" ca="1" si="17"/>
        <v>1.8680227073052884</v>
      </c>
      <c r="AK40" s="932">
        <f t="shared" ca="1" si="18"/>
        <v>0</v>
      </c>
      <c r="AL40" s="895">
        <f t="shared" ca="1" si="19"/>
        <v>1.8680227073052884</v>
      </c>
      <c r="AM40" s="940">
        <f t="shared" ca="1" si="20"/>
        <v>6.5582055031716546E-3</v>
      </c>
    </row>
    <row r="41" spans="2:39">
      <c r="B41" s="580" t="s">
        <v>128</v>
      </c>
      <c r="C41" s="581"/>
      <c r="D41" s="581"/>
      <c r="E41" s="527" t="s">
        <v>80</v>
      </c>
      <c r="F41" s="635">
        <v>6.5058278625175996</v>
      </c>
      <c r="H41" s="982">
        <v>8.4598194324334148</v>
      </c>
      <c r="I41" s="983">
        <v>14.05956297677975</v>
      </c>
      <c r="J41" s="1027">
        <v>13.967958236206986</v>
      </c>
      <c r="K41" s="559"/>
      <c r="L41" s="559"/>
      <c r="M41" s="559"/>
      <c r="N41" s="559"/>
      <c r="O41" s="984">
        <f ca="1">+'CWD 2025_V1'!$C$24</f>
        <v>8.4598194324334148</v>
      </c>
      <c r="P41" s="985">
        <f ca="1">+'CWD 2026_V1'!$C$24</f>
        <v>14.05956297677975</v>
      </c>
      <c r="Q41" s="986">
        <f ca="1">+'CWD 2027_V1'!$C$24</f>
        <v>14.05956297677975</v>
      </c>
      <c r="AA41" s="142"/>
    </row>
    <row r="42" spans="2:39">
      <c r="B42" s="580" t="s">
        <v>289</v>
      </c>
      <c r="C42" s="581"/>
      <c r="D42" s="581"/>
      <c r="E42" s="527" t="s">
        <v>122</v>
      </c>
      <c r="F42" s="634"/>
      <c r="H42" s="977">
        <v>6.330948561074877E-2</v>
      </c>
      <c r="I42" s="978">
        <v>0.11526242020824867</v>
      </c>
      <c r="J42" s="1026">
        <v>0.11526242020824867</v>
      </c>
      <c r="K42" s="559"/>
      <c r="L42" s="559"/>
      <c r="M42" s="559"/>
      <c r="N42" s="559"/>
      <c r="O42" s="979">
        <f ca="1">+'CWD 2025_V1'!$C$25</f>
        <v>6.330948561074895E-2</v>
      </c>
      <c r="P42" s="980">
        <f ca="1">+'CWD 2026_V1'!$C$25</f>
        <v>0.11526242020824867</v>
      </c>
      <c r="Q42" s="981">
        <f ca="1">+'CWD 2027_V1'!$C$25</f>
        <v>0.11526242020824867</v>
      </c>
      <c r="AB42" s="867"/>
      <c r="AF42" s="753"/>
    </row>
    <row r="43" spans="2:39">
      <c r="B43" s="580" t="s">
        <v>129</v>
      </c>
      <c r="C43" s="581"/>
      <c r="D43" s="581"/>
      <c r="E43" s="527" t="s">
        <v>122</v>
      </c>
      <c r="F43" s="634"/>
      <c r="H43" s="982">
        <v>80.504825070608945</v>
      </c>
      <c r="I43" s="983">
        <v>97.484778778662147</v>
      </c>
      <c r="J43" s="1027">
        <v>97.484778778662147</v>
      </c>
      <c r="K43" s="559"/>
      <c r="L43" s="559"/>
      <c r="M43" s="559"/>
      <c r="N43" s="559"/>
      <c r="O43" s="984">
        <f ca="1">+'CWD 2025_V1'!$C$26</f>
        <v>80.504825070608931</v>
      </c>
      <c r="P43" s="985">
        <f ca="1">+'CWD 2026_V1'!$C$26</f>
        <v>97.484778778662147</v>
      </c>
      <c r="Q43" s="986">
        <f ca="1">+'CWD 2027_V1'!$C$26</f>
        <v>97.484778778662147</v>
      </c>
    </row>
    <row r="44" spans="2:39" ht="15.75" thickBot="1">
      <c r="B44" s="586" t="s">
        <v>128</v>
      </c>
      <c r="C44" s="587"/>
      <c r="D44" s="587"/>
      <c r="E44" s="528" t="s">
        <v>122</v>
      </c>
      <c r="F44" s="636"/>
      <c r="H44" s="987">
        <v>85.768153440873462</v>
      </c>
      <c r="I44" s="988">
        <v>86.860724355771112</v>
      </c>
      <c r="J44" s="1028">
        <v>86.860724355771112</v>
      </c>
      <c r="K44" s="559"/>
      <c r="L44" s="559"/>
      <c r="M44" s="559"/>
      <c r="N44" s="559"/>
      <c r="O44" s="989">
        <f ca="1">+'CWD 2025_V1'!$C$27</f>
        <v>85.768153440873462</v>
      </c>
      <c r="P44" s="990">
        <f ca="1">+'CWD 2026_V1'!$C$27</f>
        <v>86.860724355771112</v>
      </c>
      <c r="Q44" s="991">
        <f ca="1">+'CWD 2027_V1'!$C$27</f>
        <v>86.860724355771112</v>
      </c>
      <c r="AA44" s="1040" t="s">
        <v>386</v>
      </c>
    </row>
    <row r="45" spans="2:39" ht="15" customHeight="1" outlineLevel="1" thickBot="1">
      <c r="N45" s="559"/>
    </row>
    <row r="46" spans="2:39" ht="15" customHeight="1" outlineLevel="1">
      <c r="C46" s="637" t="s">
        <v>298</v>
      </c>
      <c r="F46" s="638"/>
      <c r="H46" s="639">
        <f>(H21*H27+H23*H28)/1000</f>
        <v>24553.230893177515</v>
      </c>
      <c r="I46" s="640">
        <f t="shared" ref="I46:J46" si="21">(I21*I27+I23*I28)/1000</f>
        <v>17716.796676328249</v>
      </c>
      <c r="J46" s="641">
        <f t="shared" si="21"/>
        <v>17716.796676328249</v>
      </c>
      <c r="N46" s="559"/>
      <c r="O46" s="639">
        <f>(O21*O27+O23*O28)/1000</f>
        <v>24553.230893177515</v>
      </c>
      <c r="P46" s="640">
        <f t="shared" ref="P46" si="22">(P21*P27+P23*P28)/1000</f>
        <v>17716.796676328249</v>
      </c>
      <c r="Q46" s="641">
        <f t="shared" ref="Q46" si="23">(Q21*Q27+Q23*Q28)/1000</f>
        <v>17716.796676328249</v>
      </c>
    </row>
    <row r="47" spans="2:39" ht="15.75" customHeight="1" outlineLevel="1" thickBot="1">
      <c r="C47" s="642" t="s">
        <v>299</v>
      </c>
      <c r="F47" s="643"/>
      <c r="H47" s="610">
        <f>(H22*H27+H24*H28)/1000</f>
        <v>8598.7161068224868</v>
      </c>
      <c r="I47" s="611">
        <f t="shared" ref="I47:J47" si="24">(I22*I27+I24*I28)/1000</f>
        <v>3502.0623236717483</v>
      </c>
      <c r="J47" s="612">
        <f t="shared" si="24"/>
        <v>3502.0623236717483</v>
      </c>
      <c r="N47" s="559"/>
      <c r="O47" s="610">
        <f>(O22*O27+O24*O28)/1000</f>
        <v>8598.7161068224868</v>
      </c>
      <c r="P47" s="611">
        <f t="shared" ref="P47" si="25">(P22*P27+P24*P28)/1000</f>
        <v>3502.0623236717483</v>
      </c>
      <c r="Q47" s="612">
        <f t="shared" ref="Q47" si="26">(Q22*Q27+Q24*Q28)/1000</f>
        <v>3502.0623236717483</v>
      </c>
    </row>
    <row r="48" spans="2:39" ht="15" customHeight="1" outlineLevel="1">
      <c r="N48" s="559"/>
    </row>
    <row r="49" spans="2:20" ht="15" customHeight="1" outlineLevel="1">
      <c r="H49" s="607"/>
      <c r="I49" s="607"/>
      <c r="J49" s="607"/>
      <c r="N49" s="559"/>
    </row>
    <row r="50" spans="2:20" ht="15.75" thickBot="1">
      <c r="H50" s="607"/>
      <c r="I50" s="607"/>
      <c r="J50" s="607"/>
      <c r="N50" s="559"/>
    </row>
    <row r="51" spans="2:20" ht="15.75" thickBot="1">
      <c r="B51" s="542" t="s">
        <v>368</v>
      </c>
      <c r="C51" s="543"/>
      <c r="D51" s="544"/>
      <c r="E51" s="544"/>
      <c r="F51" s="545"/>
      <c r="H51" s="535" t="s">
        <v>250</v>
      </c>
      <c r="I51" s="536" t="s">
        <v>252</v>
      </c>
      <c r="J51" s="537" t="s">
        <v>383</v>
      </c>
      <c r="K51" s="543"/>
      <c r="L51" s="543"/>
      <c r="M51" s="543"/>
      <c r="N51" s="559"/>
      <c r="O51" s="538" t="s">
        <v>360</v>
      </c>
      <c r="P51" s="539" t="s">
        <v>361</v>
      </c>
      <c r="Q51" s="540" t="s">
        <v>362</v>
      </c>
    </row>
    <row r="52" spans="2:20">
      <c r="H52" s="644" t="s">
        <v>110</v>
      </c>
      <c r="I52" s="645"/>
      <c r="J52" s="646"/>
      <c r="K52" s="647"/>
      <c r="L52" s="647"/>
      <c r="M52" s="647"/>
      <c r="N52" s="559"/>
      <c r="O52" s="922" t="s">
        <v>110</v>
      </c>
      <c r="P52" s="923"/>
      <c r="Q52" s="924"/>
      <c r="R52" s="647"/>
      <c r="S52" s="647"/>
      <c r="T52" s="647"/>
    </row>
    <row r="53" spans="2:20" ht="15.75" thickBot="1">
      <c r="H53" s="648">
        <f>rpm_start_year</f>
        <v>2025</v>
      </c>
      <c r="I53" s="649">
        <f>H53+1</f>
        <v>2026</v>
      </c>
      <c r="J53" s="1007">
        <f>I53+1</f>
        <v>2027</v>
      </c>
      <c r="K53" s="551" t="s">
        <v>357</v>
      </c>
      <c r="L53" s="551" t="s">
        <v>358</v>
      </c>
      <c r="M53" s="551" t="s">
        <v>359</v>
      </c>
      <c r="N53" s="559"/>
      <c r="O53" s="650">
        <f>rpm_start_year</f>
        <v>2025</v>
      </c>
      <c r="P53" s="651">
        <f>O53+1</f>
        <v>2026</v>
      </c>
      <c r="Q53" s="652">
        <f>P53+1</f>
        <v>2027</v>
      </c>
      <c r="R53" s="551" t="s">
        <v>357</v>
      </c>
      <c r="S53" s="551" t="s">
        <v>358</v>
      </c>
      <c r="T53" s="551" t="s">
        <v>359</v>
      </c>
    </row>
    <row r="54" spans="2:20">
      <c r="B54" s="653" t="s">
        <v>26</v>
      </c>
      <c r="C54" s="654" t="s">
        <v>27</v>
      </c>
      <c r="D54" s="654" t="s">
        <v>372</v>
      </c>
      <c r="E54" s="655" t="s">
        <v>283</v>
      </c>
      <c r="F54" s="656"/>
      <c r="H54" s="657" t="s">
        <v>38</v>
      </c>
      <c r="I54" s="658" t="s">
        <v>38</v>
      </c>
      <c r="J54" s="659" t="s">
        <v>38</v>
      </c>
      <c r="K54" s="660"/>
      <c r="L54" s="660"/>
      <c r="M54" s="660"/>
      <c r="O54" s="661" t="s">
        <v>38</v>
      </c>
      <c r="P54" s="662" t="s">
        <v>38</v>
      </c>
      <c r="Q54" s="663" t="s">
        <v>38</v>
      </c>
      <c r="R54" s="660"/>
      <c r="S54" s="660"/>
      <c r="T54" s="660"/>
    </row>
    <row r="55" spans="2:20">
      <c r="B55" s="664" t="s">
        <v>0</v>
      </c>
      <c r="C55" s="665" t="s">
        <v>21</v>
      </c>
      <c r="D55" s="665" t="s">
        <v>31</v>
      </c>
      <c r="E55" s="666" t="s">
        <v>1</v>
      </c>
      <c r="F55" s="667"/>
      <c r="H55" s="668">
        <v>15458650.139332194</v>
      </c>
      <c r="I55" s="669">
        <v>3366967</v>
      </c>
      <c r="J55" s="1008">
        <v>3366967</v>
      </c>
      <c r="K55" s="670">
        <v>16087777.273133563</v>
      </c>
      <c r="L55" s="670">
        <v>3366967</v>
      </c>
      <c r="M55" s="670">
        <v>12742925.193681506</v>
      </c>
      <c r="O55" s="953">
        <v>15458650.139332194</v>
      </c>
      <c r="P55" s="906">
        <f>+'Tariff simulation'!K36</f>
        <v>3366967</v>
      </c>
      <c r="Q55" s="907">
        <f>+'Tariff simulation'!L36</f>
        <v>3366967</v>
      </c>
      <c r="R55" s="670">
        <f t="shared" ref="R55:R100" si="27">+K55</f>
        <v>16087777.273133563</v>
      </c>
      <c r="S55" s="670">
        <f>+P55</f>
        <v>3366967</v>
      </c>
      <c r="T55" s="670">
        <f>+Q55</f>
        <v>3366967</v>
      </c>
    </row>
    <row r="56" spans="2:20">
      <c r="B56" s="671" t="s">
        <v>0</v>
      </c>
      <c r="C56" s="672" t="s">
        <v>21</v>
      </c>
      <c r="D56" s="672" t="s">
        <v>31</v>
      </c>
      <c r="E56" s="673" t="s">
        <v>2</v>
      </c>
      <c r="F56" s="674"/>
      <c r="H56" s="675">
        <v>9945576.720543379</v>
      </c>
      <c r="I56" s="676">
        <v>7618999</v>
      </c>
      <c r="J56" s="1009">
        <v>7618999</v>
      </c>
      <c r="K56" s="670">
        <v>10987013.31882192</v>
      </c>
      <c r="L56" s="670">
        <v>7618999</v>
      </c>
      <c r="M56" s="670">
        <v>14062692.77161644</v>
      </c>
      <c r="O56" s="949">
        <v>9945576.720543379</v>
      </c>
      <c r="P56" s="908">
        <f>+'Tariff simulation'!K37</f>
        <v>7618999</v>
      </c>
      <c r="Q56" s="909">
        <f>+'Tariff simulation'!L37</f>
        <v>7618999</v>
      </c>
      <c r="R56" s="670">
        <f t="shared" si="27"/>
        <v>10987013.31882192</v>
      </c>
      <c r="S56" s="670">
        <f t="shared" ref="S56:S100" si="28">+P56</f>
        <v>7618999</v>
      </c>
      <c r="T56" s="670">
        <f t="shared" ref="T56:T100" si="29">+Q56</f>
        <v>7618999</v>
      </c>
    </row>
    <row r="57" spans="2:20">
      <c r="B57" s="671" t="s">
        <v>0</v>
      </c>
      <c r="C57" s="672" t="s">
        <v>21</v>
      </c>
      <c r="D57" s="672" t="s">
        <v>31</v>
      </c>
      <c r="E57" s="673" t="s">
        <v>3</v>
      </c>
      <c r="F57" s="674"/>
      <c r="H57" s="675">
        <v>1871337.7898630137</v>
      </c>
      <c r="I57" s="676">
        <v>818029</v>
      </c>
      <c r="J57" s="1009">
        <v>818029</v>
      </c>
      <c r="K57" s="670">
        <v>2230891.0150684929</v>
      </c>
      <c r="L57" s="670">
        <v>818029</v>
      </c>
      <c r="M57" s="670">
        <v>2610953.8150684927</v>
      </c>
      <c r="O57" s="949">
        <v>1871337.7898630137</v>
      </c>
      <c r="P57" s="908">
        <f>+'Tariff simulation'!K38</f>
        <v>818029</v>
      </c>
      <c r="Q57" s="909">
        <f>+'Tariff simulation'!L38</f>
        <v>818029</v>
      </c>
      <c r="R57" s="670">
        <f t="shared" si="27"/>
        <v>2230891.0150684929</v>
      </c>
      <c r="S57" s="670">
        <f t="shared" si="28"/>
        <v>818029</v>
      </c>
      <c r="T57" s="670">
        <f t="shared" si="29"/>
        <v>818029</v>
      </c>
    </row>
    <row r="58" spans="2:20">
      <c r="B58" s="677" t="s">
        <v>0</v>
      </c>
      <c r="C58" s="678" t="s">
        <v>21</v>
      </c>
      <c r="D58" s="678" t="s">
        <v>31</v>
      </c>
      <c r="E58" s="679" t="s">
        <v>4</v>
      </c>
      <c r="F58" s="680"/>
      <c r="H58" s="681">
        <v>0</v>
      </c>
      <c r="I58" s="682">
        <v>0</v>
      </c>
      <c r="J58" s="1009">
        <v>0</v>
      </c>
      <c r="K58" s="670">
        <v>0</v>
      </c>
      <c r="L58" s="670">
        <v>0</v>
      </c>
      <c r="M58" s="670">
        <v>0</v>
      </c>
      <c r="O58" s="949">
        <v>0</v>
      </c>
      <c r="P58" s="908">
        <f>+'Tariff simulation'!K39</f>
        <v>0</v>
      </c>
      <c r="Q58" s="909">
        <f>+'Tariff simulation'!L39</f>
        <v>0</v>
      </c>
      <c r="R58" s="670">
        <f t="shared" si="27"/>
        <v>0</v>
      </c>
      <c r="S58" s="670">
        <f t="shared" si="28"/>
        <v>0</v>
      </c>
      <c r="T58" s="670">
        <f t="shared" si="29"/>
        <v>0</v>
      </c>
    </row>
    <row r="59" spans="2:20">
      <c r="B59" s="677" t="s">
        <v>0</v>
      </c>
      <c r="C59" s="678" t="s">
        <v>21</v>
      </c>
      <c r="D59" s="678" t="s">
        <v>31</v>
      </c>
      <c r="E59" s="679" t="s">
        <v>6</v>
      </c>
      <c r="F59" s="680"/>
      <c r="H59" s="681">
        <v>0</v>
      </c>
      <c r="I59" s="682">
        <v>0</v>
      </c>
      <c r="J59" s="1009">
        <v>0</v>
      </c>
      <c r="K59" s="670">
        <v>0</v>
      </c>
      <c r="L59" s="670">
        <v>0</v>
      </c>
      <c r="M59" s="670">
        <v>0</v>
      </c>
      <c r="O59" s="949">
        <v>0</v>
      </c>
      <c r="P59" s="908">
        <f>+'Tariff simulation'!K40</f>
        <v>0</v>
      </c>
      <c r="Q59" s="909">
        <f>+'Tariff simulation'!L40</f>
        <v>0</v>
      </c>
      <c r="R59" s="670">
        <f t="shared" si="27"/>
        <v>0</v>
      </c>
      <c r="S59" s="670">
        <f t="shared" si="28"/>
        <v>0</v>
      </c>
      <c r="T59" s="670">
        <f t="shared" si="29"/>
        <v>0</v>
      </c>
    </row>
    <row r="60" spans="2:20">
      <c r="B60" s="677" t="s">
        <v>0</v>
      </c>
      <c r="C60" s="678" t="s">
        <v>21</v>
      </c>
      <c r="D60" s="678" t="s">
        <v>31</v>
      </c>
      <c r="E60" s="679" t="s">
        <v>5</v>
      </c>
      <c r="F60" s="680"/>
      <c r="H60" s="681">
        <v>0</v>
      </c>
      <c r="I60" s="682">
        <v>0</v>
      </c>
      <c r="J60" s="1009">
        <v>0</v>
      </c>
      <c r="K60" s="670">
        <v>0</v>
      </c>
      <c r="L60" s="670">
        <v>0</v>
      </c>
      <c r="M60" s="670">
        <v>0</v>
      </c>
      <c r="O60" s="949">
        <v>0</v>
      </c>
      <c r="P60" s="908">
        <f>+'Tariff simulation'!K41</f>
        <v>0</v>
      </c>
      <c r="Q60" s="909">
        <f>+'Tariff simulation'!L41</f>
        <v>0</v>
      </c>
      <c r="R60" s="670">
        <f t="shared" si="27"/>
        <v>0</v>
      </c>
      <c r="S60" s="670">
        <f t="shared" si="28"/>
        <v>0</v>
      </c>
      <c r="T60" s="670">
        <f t="shared" si="29"/>
        <v>0</v>
      </c>
    </row>
    <row r="61" spans="2:20">
      <c r="B61" s="671" t="s">
        <v>0</v>
      </c>
      <c r="C61" s="672" t="s">
        <v>21</v>
      </c>
      <c r="D61" s="672" t="s">
        <v>31</v>
      </c>
      <c r="E61" s="673" t="s">
        <v>95</v>
      </c>
      <c r="F61" s="674"/>
      <c r="H61" s="675">
        <v>4028400.0000000009</v>
      </c>
      <c r="I61" s="676">
        <v>4028400.0000000009</v>
      </c>
      <c r="J61" s="1009">
        <v>4028400.0000000009</v>
      </c>
      <c r="K61" s="670">
        <v>4028400.0000000009</v>
      </c>
      <c r="L61" s="670">
        <v>4028400.0000000009</v>
      </c>
      <c r="M61" s="670">
        <v>4028400.0000000009</v>
      </c>
      <c r="O61" s="949">
        <v>4028400.0000000009</v>
      </c>
      <c r="P61" s="908">
        <f>+'Tariff simulation'!K42</f>
        <v>4028400.0000000009</v>
      </c>
      <c r="Q61" s="909">
        <f>+'Tariff simulation'!L42</f>
        <v>4028400.0000000009</v>
      </c>
      <c r="R61" s="670">
        <f t="shared" si="27"/>
        <v>4028400.0000000009</v>
      </c>
      <c r="S61" s="670">
        <f t="shared" si="28"/>
        <v>4028400.0000000009</v>
      </c>
      <c r="T61" s="670">
        <f t="shared" si="29"/>
        <v>4028400.0000000009</v>
      </c>
    </row>
    <row r="62" spans="2:20">
      <c r="B62" s="671" t="s">
        <v>0</v>
      </c>
      <c r="C62" s="683" t="s">
        <v>30</v>
      </c>
      <c r="D62" s="672" t="s">
        <v>31</v>
      </c>
      <c r="E62" s="673" t="s">
        <v>7</v>
      </c>
      <c r="F62" s="674"/>
      <c r="H62" s="675">
        <v>4599480.7206585268</v>
      </c>
      <c r="I62" s="676">
        <v>1975276</v>
      </c>
      <c r="J62" s="1009">
        <v>1975276</v>
      </c>
      <c r="K62" s="670">
        <v>4599480.7206585268</v>
      </c>
      <c r="L62" s="670">
        <v>1975276</v>
      </c>
      <c r="M62" s="670">
        <v>2947157.5041216607</v>
      </c>
      <c r="O62" s="949">
        <v>4599480.7206585268</v>
      </c>
      <c r="P62" s="908">
        <f>+'Tariff simulation'!K43</f>
        <v>1975276</v>
      </c>
      <c r="Q62" s="909">
        <f>+'Tariff simulation'!L43</f>
        <v>1975276</v>
      </c>
      <c r="R62" s="670">
        <f t="shared" si="27"/>
        <v>4599480.7206585268</v>
      </c>
      <c r="S62" s="670">
        <f t="shared" si="28"/>
        <v>1975276</v>
      </c>
      <c r="T62" s="670">
        <f t="shared" si="29"/>
        <v>1975276</v>
      </c>
    </row>
    <row r="63" spans="2:20">
      <c r="B63" s="671" t="s">
        <v>0</v>
      </c>
      <c r="C63" s="683" t="s">
        <v>30</v>
      </c>
      <c r="D63" s="672" t="s">
        <v>31</v>
      </c>
      <c r="E63" s="673" t="s">
        <v>8</v>
      </c>
      <c r="F63" s="674"/>
      <c r="H63" s="675">
        <v>13795957.000000002</v>
      </c>
      <c r="I63" s="676">
        <v>3366967</v>
      </c>
      <c r="J63" s="1009">
        <v>3366967</v>
      </c>
      <c r="K63" s="670">
        <v>13795957.000000002</v>
      </c>
      <c r="L63" s="670">
        <v>3366967</v>
      </c>
      <c r="M63" s="670">
        <v>10451104.920547945</v>
      </c>
      <c r="O63" s="949">
        <v>13795957.000000002</v>
      </c>
      <c r="P63" s="908">
        <f>+'Tariff simulation'!K44</f>
        <v>3366967</v>
      </c>
      <c r="Q63" s="909">
        <f>+'Tariff simulation'!L44</f>
        <v>3366967</v>
      </c>
      <c r="R63" s="670">
        <f t="shared" si="27"/>
        <v>13795957.000000002</v>
      </c>
      <c r="S63" s="670">
        <f t="shared" si="28"/>
        <v>3366967</v>
      </c>
      <c r="T63" s="670">
        <f t="shared" si="29"/>
        <v>3366967</v>
      </c>
    </row>
    <row r="64" spans="2:20">
      <c r="B64" s="671" t="s">
        <v>0</v>
      </c>
      <c r="C64" s="683" t="s">
        <v>30</v>
      </c>
      <c r="D64" s="672" t="s">
        <v>31</v>
      </c>
      <c r="E64" s="673" t="s">
        <v>12</v>
      </c>
      <c r="F64" s="674"/>
      <c r="H64" s="675">
        <v>324117.03253424657</v>
      </c>
      <c r="I64" s="676">
        <v>0</v>
      </c>
      <c r="J64" s="1009">
        <v>0</v>
      </c>
      <c r="K64" s="670">
        <v>324117.03253424657</v>
      </c>
      <c r="L64" s="670">
        <v>0</v>
      </c>
      <c r="M64" s="670">
        <v>324117.03253424657</v>
      </c>
      <c r="O64" s="949">
        <v>324117.03253424657</v>
      </c>
      <c r="P64" s="908">
        <f>+'Tariff simulation'!K45</f>
        <v>0</v>
      </c>
      <c r="Q64" s="909">
        <f>+'Tariff simulation'!L45</f>
        <v>0</v>
      </c>
      <c r="R64" s="670">
        <f t="shared" si="27"/>
        <v>324117.03253424657</v>
      </c>
      <c r="S64" s="670">
        <f t="shared" si="28"/>
        <v>0</v>
      </c>
      <c r="T64" s="670">
        <f t="shared" si="29"/>
        <v>0</v>
      </c>
    </row>
    <row r="65" spans="2:20">
      <c r="B65" s="671" t="s">
        <v>0</v>
      </c>
      <c r="C65" s="683" t="s">
        <v>30</v>
      </c>
      <c r="D65" s="672" t="s">
        <v>31</v>
      </c>
      <c r="E65" s="673" t="s">
        <v>10</v>
      </c>
      <c r="F65" s="674"/>
      <c r="H65" s="675">
        <v>5747512.6909736302</v>
      </c>
      <c r="I65" s="676">
        <v>3189496</v>
      </c>
      <c r="J65" s="1009">
        <v>3189496</v>
      </c>
      <c r="K65" s="670">
        <v>6142391.6287736297</v>
      </c>
      <c r="L65" s="670">
        <v>3189496</v>
      </c>
      <c r="M65" s="670">
        <v>4398469.8397325343</v>
      </c>
      <c r="O65" s="949">
        <v>5747512.6909736302</v>
      </c>
      <c r="P65" s="908">
        <f>+'Tariff simulation'!K46</f>
        <v>3189496</v>
      </c>
      <c r="Q65" s="909">
        <f>+'Tariff simulation'!L46</f>
        <v>3189496</v>
      </c>
      <c r="R65" s="670">
        <f t="shared" si="27"/>
        <v>6142391.6287736297</v>
      </c>
      <c r="S65" s="670">
        <f t="shared" si="28"/>
        <v>3189496</v>
      </c>
      <c r="T65" s="670">
        <f t="shared" si="29"/>
        <v>3189496</v>
      </c>
    </row>
    <row r="66" spans="2:20">
      <c r="B66" s="671" t="s">
        <v>0</v>
      </c>
      <c r="C66" s="683" t="s">
        <v>30</v>
      </c>
      <c r="D66" s="672" t="s">
        <v>31</v>
      </c>
      <c r="E66" s="673" t="s">
        <v>92</v>
      </c>
      <c r="F66" s="674"/>
      <c r="H66" s="681">
        <v>0</v>
      </c>
      <c r="I66" s="682">
        <v>0</v>
      </c>
      <c r="J66" s="1009">
        <v>0</v>
      </c>
      <c r="K66" s="670">
        <v>0</v>
      </c>
      <c r="L66" s="670">
        <v>0</v>
      </c>
      <c r="M66" s="670">
        <v>0</v>
      </c>
      <c r="O66" s="949">
        <v>0</v>
      </c>
      <c r="P66" s="908">
        <f>+'Tariff simulation'!K47</f>
        <v>0</v>
      </c>
      <c r="Q66" s="909">
        <f>+'Tariff simulation'!L47</f>
        <v>0</v>
      </c>
      <c r="R66" s="670">
        <f t="shared" si="27"/>
        <v>0</v>
      </c>
      <c r="S66" s="670">
        <f t="shared" si="28"/>
        <v>0</v>
      </c>
      <c r="T66" s="670">
        <f t="shared" si="29"/>
        <v>0</v>
      </c>
    </row>
    <row r="67" spans="2:20">
      <c r="B67" s="671" t="s">
        <v>0</v>
      </c>
      <c r="C67" s="683" t="s">
        <v>30</v>
      </c>
      <c r="D67" s="672" t="s">
        <v>31</v>
      </c>
      <c r="E67" s="673" t="s">
        <v>9</v>
      </c>
      <c r="F67" s="674"/>
      <c r="H67" s="675">
        <v>638698.63013698626</v>
      </c>
      <c r="I67" s="676">
        <v>872840</v>
      </c>
      <c r="J67" s="1009">
        <v>872840</v>
      </c>
      <c r="K67" s="670">
        <v>638698.63013698626</v>
      </c>
      <c r="L67" s="670">
        <v>872840</v>
      </c>
      <c r="M67" s="670">
        <v>638698.63013698626</v>
      </c>
      <c r="O67" s="949">
        <v>638698.63013698626</v>
      </c>
      <c r="P67" s="908">
        <f>+'Tariff simulation'!K48</f>
        <v>872840</v>
      </c>
      <c r="Q67" s="909">
        <f>+'Tariff simulation'!L48</f>
        <v>872840</v>
      </c>
      <c r="R67" s="670">
        <f t="shared" si="27"/>
        <v>638698.63013698626</v>
      </c>
      <c r="S67" s="670">
        <f t="shared" si="28"/>
        <v>872840</v>
      </c>
      <c r="T67" s="670">
        <f t="shared" si="29"/>
        <v>872840</v>
      </c>
    </row>
    <row r="68" spans="2:20">
      <c r="B68" s="671" t="s">
        <v>0</v>
      </c>
      <c r="C68" s="683" t="s">
        <v>30</v>
      </c>
      <c r="D68" s="672" t="s">
        <v>31</v>
      </c>
      <c r="E68" s="673" t="s">
        <v>11</v>
      </c>
      <c r="F68" s="674"/>
      <c r="H68" s="675">
        <v>21422795</v>
      </c>
      <c r="I68" s="676">
        <v>21422795</v>
      </c>
      <c r="J68" s="1009">
        <v>21422795</v>
      </c>
      <c r="K68" s="670">
        <v>21422795</v>
      </c>
      <c r="L68" s="670">
        <v>21422795</v>
      </c>
      <c r="M68" s="670">
        <v>21422795</v>
      </c>
      <c r="O68" s="949">
        <v>21422795</v>
      </c>
      <c r="P68" s="908">
        <f>+'Tariff simulation'!K49</f>
        <v>21422795</v>
      </c>
      <c r="Q68" s="909">
        <f>+'Tariff simulation'!L49</f>
        <v>21422795</v>
      </c>
      <c r="R68" s="670">
        <f t="shared" si="27"/>
        <v>21422795</v>
      </c>
      <c r="S68" s="670">
        <f t="shared" si="28"/>
        <v>21422795</v>
      </c>
      <c r="T68" s="670">
        <f t="shared" si="29"/>
        <v>21422795</v>
      </c>
    </row>
    <row r="69" spans="2:20">
      <c r="B69" s="671" t="s">
        <v>0</v>
      </c>
      <c r="C69" s="672" t="s">
        <v>21</v>
      </c>
      <c r="D69" s="683" t="s">
        <v>32</v>
      </c>
      <c r="E69" s="673" t="s">
        <v>96</v>
      </c>
      <c r="F69" s="674"/>
      <c r="H69" s="675">
        <v>3357000</v>
      </c>
      <c r="I69" s="676">
        <v>0</v>
      </c>
      <c r="J69" s="1009">
        <v>0</v>
      </c>
      <c r="K69" s="670">
        <v>3357000</v>
      </c>
      <c r="L69" s="670">
        <v>0</v>
      </c>
      <c r="M69" s="670">
        <v>2510852.0547945206</v>
      </c>
      <c r="O69" s="949">
        <v>3357000</v>
      </c>
      <c r="P69" s="908">
        <f>+'Tariff simulation'!K50</f>
        <v>0</v>
      </c>
      <c r="Q69" s="909">
        <f>+'Tariff simulation'!L50</f>
        <v>0</v>
      </c>
      <c r="R69" s="670">
        <f t="shared" si="27"/>
        <v>3357000</v>
      </c>
      <c r="S69" s="670">
        <f t="shared" si="28"/>
        <v>0</v>
      </c>
      <c r="T69" s="670">
        <f t="shared" si="29"/>
        <v>0</v>
      </c>
    </row>
    <row r="70" spans="2:20">
      <c r="B70" s="671" t="s">
        <v>0</v>
      </c>
      <c r="C70" s="683" t="s">
        <v>30</v>
      </c>
      <c r="D70" s="683" t="s">
        <v>32</v>
      </c>
      <c r="E70" s="673" t="s">
        <v>99</v>
      </c>
      <c r="F70" s="674"/>
      <c r="H70" s="675">
        <v>6431372.0000000019</v>
      </c>
      <c r="I70" s="676">
        <v>585865</v>
      </c>
      <c r="J70" s="1009">
        <v>585865</v>
      </c>
      <c r="K70" s="670">
        <v>6431372.0000000019</v>
      </c>
      <c r="L70" s="670">
        <v>585865</v>
      </c>
      <c r="M70" s="670">
        <v>4224448.3726027403</v>
      </c>
      <c r="O70" s="949">
        <v>6431372.0000000019</v>
      </c>
      <c r="P70" s="908">
        <f>+'Tariff simulation'!K51</f>
        <v>585865</v>
      </c>
      <c r="Q70" s="909">
        <f>+'Tariff simulation'!L51</f>
        <v>585865</v>
      </c>
      <c r="R70" s="670">
        <f t="shared" si="27"/>
        <v>6431372.0000000019</v>
      </c>
      <c r="S70" s="670">
        <f t="shared" si="28"/>
        <v>585865</v>
      </c>
      <c r="T70" s="670">
        <f t="shared" si="29"/>
        <v>585865</v>
      </c>
    </row>
    <row r="71" spans="2:20">
      <c r="B71" s="671" t="s">
        <v>0</v>
      </c>
      <c r="C71" s="683" t="s">
        <v>30</v>
      </c>
      <c r="D71" s="683" t="s">
        <v>32</v>
      </c>
      <c r="E71" s="673" t="s">
        <v>97</v>
      </c>
      <c r="F71" s="674"/>
      <c r="H71" s="675">
        <v>4635629</v>
      </c>
      <c r="I71" s="676">
        <v>4635629</v>
      </c>
      <c r="J71" s="1009">
        <v>4635629</v>
      </c>
      <c r="K71" s="670">
        <v>4635629</v>
      </c>
      <c r="L71" s="670">
        <v>4635629</v>
      </c>
      <c r="M71" s="670">
        <v>4635629</v>
      </c>
      <c r="O71" s="949">
        <v>4635629</v>
      </c>
      <c r="P71" s="908">
        <f>+'Tariff simulation'!K52</f>
        <v>4635629</v>
      </c>
      <c r="Q71" s="909">
        <f>+'Tariff simulation'!L52</f>
        <v>4635629</v>
      </c>
      <c r="R71" s="670">
        <f t="shared" si="27"/>
        <v>4635629</v>
      </c>
      <c r="S71" s="670">
        <f t="shared" si="28"/>
        <v>4635629</v>
      </c>
      <c r="T71" s="670">
        <f t="shared" si="29"/>
        <v>4635629</v>
      </c>
    </row>
    <row r="72" spans="2:20">
      <c r="B72" s="671" t="s">
        <v>0</v>
      </c>
      <c r="C72" s="683" t="s">
        <v>30</v>
      </c>
      <c r="D72" s="683" t="s">
        <v>32</v>
      </c>
      <c r="E72" s="673" t="s">
        <v>98</v>
      </c>
      <c r="F72" s="674"/>
      <c r="H72" s="675">
        <v>2378663</v>
      </c>
      <c r="I72" s="676">
        <v>2378663</v>
      </c>
      <c r="J72" s="1009">
        <v>2378663</v>
      </c>
      <c r="K72" s="670">
        <v>2378663</v>
      </c>
      <c r="L72" s="670">
        <v>2378663</v>
      </c>
      <c r="M72" s="670">
        <v>2378663</v>
      </c>
      <c r="O72" s="949">
        <v>2378663</v>
      </c>
      <c r="P72" s="908">
        <f>+'Tariff simulation'!K53</f>
        <v>2378663</v>
      </c>
      <c r="Q72" s="909">
        <f>+'Tariff simulation'!L53</f>
        <v>2378663</v>
      </c>
      <c r="R72" s="670">
        <f t="shared" si="27"/>
        <v>2378663</v>
      </c>
      <c r="S72" s="670">
        <f t="shared" si="28"/>
        <v>2378663</v>
      </c>
      <c r="T72" s="670">
        <f t="shared" si="29"/>
        <v>2378663</v>
      </c>
    </row>
    <row r="73" spans="2:20">
      <c r="B73" s="671" t="s">
        <v>0</v>
      </c>
      <c r="C73" s="672" t="s">
        <v>21</v>
      </c>
      <c r="D73" s="684" t="s">
        <v>107</v>
      </c>
      <c r="E73" s="673" t="s">
        <v>101</v>
      </c>
      <c r="F73" s="674"/>
      <c r="H73" s="681">
        <v>0</v>
      </c>
      <c r="I73" s="682">
        <v>0</v>
      </c>
      <c r="J73" s="1009">
        <v>0</v>
      </c>
      <c r="K73" s="670">
        <v>0</v>
      </c>
      <c r="L73" s="670">
        <v>0</v>
      </c>
      <c r="M73" s="670">
        <v>0</v>
      </c>
      <c r="O73" s="949">
        <v>0</v>
      </c>
      <c r="P73" s="908">
        <f>+'Tariff simulation'!K54</f>
        <v>0</v>
      </c>
      <c r="Q73" s="909">
        <f>+'Tariff simulation'!L54</f>
        <v>0</v>
      </c>
      <c r="R73" s="670">
        <f t="shared" si="27"/>
        <v>0</v>
      </c>
      <c r="S73" s="670">
        <f t="shared" si="28"/>
        <v>0</v>
      </c>
      <c r="T73" s="670">
        <f t="shared" si="29"/>
        <v>0</v>
      </c>
    </row>
    <row r="74" spans="2:20">
      <c r="B74" s="671" t="s">
        <v>0</v>
      </c>
      <c r="C74" s="672" t="s">
        <v>21</v>
      </c>
      <c r="D74" s="684" t="s">
        <v>107</v>
      </c>
      <c r="E74" s="673" t="s">
        <v>102</v>
      </c>
      <c r="F74" s="674"/>
      <c r="H74" s="675">
        <v>7991748.5196698848</v>
      </c>
      <c r="I74" s="676">
        <v>6629423</v>
      </c>
      <c r="J74" s="1009">
        <v>6629423</v>
      </c>
      <c r="K74" s="670">
        <v>8672911.2795048263</v>
      </c>
      <c r="L74" s="670">
        <v>6629423</v>
      </c>
      <c r="M74" s="670">
        <v>8492421.9195457324</v>
      </c>
      <c r="O74" s="949">
        <v>7991748.5196698848</v>
      </c>
      <c r="P74" s="908">
        <f>+'Tariff simulation'!K55</f>
        <v>6629423</v>
      </c>
      <c r="Q74" s="909">
        <f>+'Tariff simulation'!L55</f>
        <v>6629423</v>
      </c>
      <c r="R74" s="670">
        <f t="shared" si="27"/>
        <v>8672911.2795048263</v>
      </c>
      <c r="S74" s="670">
        <f t="shared" si="28"/>
        <v>6629423</v>
      </c>
      <c r="T74" s="670">
        <f t="shared" si="29"/>
        <v>6629423</v>
      </c>
    </row>
    <row r="75" spans="2:20">
      <c r="B75" s="671" t="s">
        <v>0</v>
      </c>
      <c r="C75" s="683" t="s">
        <v>30</v>
      </c>
      <c r="D75" s="684" t="s">
        <v>107</v>
      </c>
      <c r="E75" s="673" t="s">
        <v>100</v>
      </c>
      <c r="F75" s="674"/>
      <c r="H75" s="681">
        <v>0</v>
      </c>
      <c r="I75" s="682">
        <v>0</v>
      </c>
      <c r="J75" s="1009">
        <v>0</v>
      </c>
      <c r="K75" s="670">
        <v>0</v>
      </c>
      <c r="L75" s="670">
        <v>0</v>
      </c>
      <c r="M75" s="670">
        <v>0</v>
      </c>
      <c r="O75" s="949">
        <v>0</v>
      </c>
      <c r="P75" s="908">
        <f>+'Tariff simulation'!K56</f>
        <v>0</v>
      </c>
      <c r="Q75" s="909">
        <f>+'Tariff simulation'!L56</f>
        <v>0</v>
      </c>
      <c r="R75" s="670">
        <f t="shared" si="27"/>
        <v>0</v>
      </c>
      <c r="S75" s="670">
        <f t="shared" si="28"/>
        <v>0</v>
      </c>
      <c r="T75" s="670">
        <f t="shared" si="29"/>
        <v>0</v>
      </c>
    </row>
    <row r="76" spans="2:20">
      <c r="B76" s="685" t="s">
        <v>0</v>
      </c>
      <c r="C76" s="686" t="s">
        <v>30</v>
      </c>
      <c r="D76" s="687" t="s">
        <v>107</v>
      </c>
      <c r="E76" s="688" t="s">
        <v>103</v>
      </c>
      <c r="F76" s="689"/>
      <c r="H76" s="690">
        <v>7259625.5002553957</v>
      </c>
      <c r="I76" s="691">
        <v>6629423</v>
      </c>
      <c r="J76" s="1010">
        <v>6629423</v>
      </c>
      <c r="K76" s="670">
        <v>7574726.750383094</v>
      </c>
      <c r="L76" s="670">
        <v>6629423</v>
      </c>
      <c r="M76" s="670">
        <v>7755216.1103421878</v>
      </c>
      <c r="O76" s="948">
        <v>7259625.5002553957</v>
      </c>
      <c r="P76" s="902">
        <f>+'Tariff simulation'!K57</f>
        <v>6629423</v>
      </c>
      <c r="Q76" s="903">
        <f>+'Tariff simulation'!L57</f>
        <v>6629423</v>
      </c>
      <c r="R76" s="670">
        <f t="shared" si="27"/>
        <v>7574726.750383094</v>
      </c>
      <c r="S76" s="670">
        <f t="shared" si="28"/>
        <v>6629423</v>
      </c>
      <c r="T76" s="670">
        <f t="shared" si="29"/>
        <v>6629423</v>
      </c>
    </row>
    <row r="77" spans="2:20">
      <c r="B77" s="692" t="s">
        <v>13</v>
      </c>
      <c r="C77" s="665" t="s">
        <v>21</v>
      </c>
      <c r="D77" s="665" t="s">
        <v>31</v>
      </c>
      <c r="E77" s="666" t="s">
        <v>1</v>
      </c>
      <c r="F77" s="693"/>
      <c r="H77" s="668">
        <v>9211831.2526531722</v>
      </c>
      <c r="I77" s="669">
        <v>8239697</v>
      </c>
      <c r="J77" s="1008">
        <v>8239697</v>
      </c>
      <c r="K77" s="670">
        <v>9697898.3789797593</v>
      </c>
      <c r="L77" s="670">
        <v>8239697</v>
      </c>
      <c r="M77" s="670">
        <v>8239697</v>
      </c>
      <c r="O77" s="953">
        <v>9211831.2526531722</v>
      </c>
      <c r="P77" s="906">
        <f>+'Tariff simulation'!K58</f>
        <v>8239697</v>
      </c>
      <c r="Q77" s="907">
        <f>+'Tariff simulation'!L58</f>
        <v>8239697</v>
      </c>
      <c r="R77" s="670">
        <f t="shared" si="27"/>
        <v>9697898.3789797593</v>
      </c>
      <c r="S77" s="670">
        <f t="shared" si="28"/>
        <v>8239697</v>
      </c>
      <c r="T77" s="670">
        <f t="shared" si="29"/>
        <v>8239697</v>
      </c>
    </row>
    <row r="78" spans="2:20">
      <c r="B78" s="694" t="s">
        <v>13</v>
      </c>
      <c r="C78" s="672" t="s">
        <v>21</v>
      </c>
      <c r="D78" s="672" t="s">
        <v>31</v>
      </c>
      <c r="E78" s="673" t="s">
        <v>14</v>
      </c>
      <c r="F78" s="674"/>
      <c r="H78" s="675">
        <v>8746377.1931971237</v>
      </c>
      <c r="I78" s="676">
        <v>6234139</v>
      </c>
      <c r="J78" s="1009">
        <v>6234139</v>
      </c>
      <c r="K78" s="670">
        <v>9181042.8058602996</v>
      </c>
      <c r="L78" s="670">
        <v>6234139</v>
      </c>
      <c r="M78" s="670">
        <v>8739777.9010476694</v>
      </c>
      <c r="O78" s="949">
        <v>8746377.1931971237</v>
      </c>
      <c r="P78" s="908">
        <f>+'Tariff simulation'!K59</f>
        <v>6234139</v>
      </c>
      <c r="Q78" s="909">
        <f>+'Tariff simulation'!L59</f>
        <v>6234139</v>
      </c>
      <c r="R78" s="670">
        <f t="shared" si="27"/>
        <v>9181042.8058602996</v>
      </c>
      <c r="S78" s="670">
        <f t="shared" si="28"/>
        <v>6234139</v>
      </c>
      <c r="T78" s="670">
        <f t="shared" si="29"/>
        <v>6234139</v>
      </c>
    </row>
    <row r="79" spans="2:20">
      <c r="B79" s="694" t="s">
        <v>13</v>
      </c>
      <c r="C79" s="683" t="s">
        <v>30</v>
      </c>
      <c r="D79" s="672" t="s">
        <v>31</v>
      </c>
      <c r="E79" s="673" t="s">
        <v>15</v>
      </c>
      <c r="F79" s="674"/>
      <c r="H79" s="675">
        <v>6683747</v>
      </c>
      <c r="I79" s="676">
        <v>6683747</v>
      </c>
      <c r="J79" s="1009">
        <v>6683747</v>
      </c>
      <c r="K79" s="670">
        <v>6683747</v>
      </c>
      <c r="L79" s="670">
        <v>6683747</v>
      </c>
      <c r="M79" s="670">
        <v>6683747</v>
      </c>
      <c r="O79" s="949">
        <v>6683747</v>
      </c>
      <c r="P79" s="908">
        <f>+'Tariff simulation'!K60</f>
        <v>6683747</v>
      </c>
      <c r="Q79" s="909">
        <f>+'Tariff simulation'!L60</f>
        <v>6683747</v>
      </c>
      <c r="R79" s="670">
        <f t="shared" si="27"/>
        <v>6683747</v>
      </c>
      <c r="S79" s="670">
        <f t="shared" si="28"/>
        <v>6683747</v>
      </c>
      <c r="T79" s="670">
        <f t="shared" si="29"/>
        <v>6683747</v>
      </c>
    </row>
    <row r="80" spans="2:20">
      <c r="B80" s="694" t="s">
        <v>13</v>
      </c>
      <c r="C80" s="683" t="s">
        <v>30</v>
      </c>
      <c r="D80" s="672" t="s">
        <v>31</v>
      </c>
      <c r="E80" s="673" t="s">
        <v>11</v>
      </c>
      <c r="F80" s="674"/>
      <c r="H80" s="675">
        <v>3562671.9999999963</v>
      </c>
      <c r="I80" s="676">
        <v>3562671.9999999963</v>
      </c>
      <c r="J80" s="1009">
        <v>3562671.9999999963</v>
      </c>
      <c r="K80" s="670">
        <v>3562671.9999999963</v>
      </c>
      <c r="L80" s="670">
        <v>3562671.9999999963</v>
      </c>
      <c r="M80" s="670">
        <v>3562671.9999999963</v>
      </c>
      <c r="O80" s="949">
        <v>3562671.9999999963</v>
      </c>
      <c r="P80" s="908">
        <f>+'Tariff simulation'!K61</f>
        <v>3562671.9999999963</v>
      </c>
      <c r="Q80" s="909">
        <f>+'Tariff simulation'!L61</f>
        <v>3562671.9999999963</v>
      </c>
      <c r="R80" s="670">
        <f t="shared" si="27"/>
        <v>3562671.9999999963</v>
      </c>
      <c r="S80" s="670">
        <f t="shared" si="28"/>
        <v>3562671.9999999963</v>
      </c>
      <c r="T80" s="670">
        <f t="shared" si="29"/>
        <v>3562671.9999999963</v>
      </c>
    </row>
    <row r="81" spans="2:20">
      <c r="B81" s="694" t="s">
        <v>13</v>
      </c>
      <c r="C81" s="683" t="s">
        <v>30</v>
      </c>
      <c r="D81" s="672" t="s">
        <v>31</v>
      </c>
      <c r="E81" s="673" t="s">
        <v>104</v>
      </c>
      <c r="F81" s="674"/>
      <c r="H81" s="675">
        <v>471870.99999999959</v>
      </c>
      <c r="I81" s="676">
        <v>471870.99999999959</v>
      </c>
      <c r="J81" s="1009">
        <v>471870.99999999959</v>
      </c>
      <c r="K81" s="670">
        <v>471870.99999999959</v>
      </c>
      <c r="L81" s="670">
        <v>471870.99999999959</v>
      </c>
      <c r="M81" s="670">
        <v>471870.99999999959</v>
      </c>
      <c r="O81" s="949">
        <v>471870.99999999959</v>
      </c>
      <c r="P81" s="908">
        <f>+'Tariff simulation'!K62</f>
        <v>471870.99999999959</v>
      </c>
      <c r="Q81" s="909">
        <f>+'Tariff simulation'!L62</f>
        <v>471870.99999999959</v>
      </c>
      <c r="R81" s="670">
        <f t="shared" si="27"/>
        <v>471870.99999999959</v>
      </c>
      <c r="S81" s="670">
        <f t="shared" si="28"/>
        <v>471870.99999999959</v>
      </c>
      <c r="T81" s="670">
        <f t="shared" si="29"/>
        <v>471870.99999999959</v>
      </c>
    </row>
    <row r="82" spans="2:20">
      <c r="B82" s="695" t="s">
        <v>13</v>
      </c>
      <c r="C82" s="696" t="s">
        <v>21</v>
      </c>
      <c r="D82" s="686" t="s">
        <v>32</v>
      </c>
      <c r="E82" s="688" t="s">
        <v>108</v>
      </c>
      <c r="F82" s="689"/>
      <c r="H82" s="690">
        <v>521331</v>
      </c>
      <c r="I82" s="691">
        <v>521331</v>
      </c>
      <c r="J82" s="1010">
        <v>521331</v>
      </c>
      <c r="K82" s="670">
        <v>521331</v>
      </c>
      <c r="L82" s="670">
        <v>521331</v>
      </c>
      <c r="M82" s="670">
        <v>521331</v>
      </c>
      <c r="O82" s="948">
        <v>521331</v>
      </c>
      <c r="P82" s="902">
        <f>+'Tariff simulation'!K63</f>
        <v>521331</v>
      </c>
      <c r="Q82" s="903">
        <f>+'Tariff simulation'!L63</f>
        <v>521331</v>
      </c>
      <c r="R82" s="670">
        <f t="shared" si="27"/>
        <v>521331</v>
      </c>
      <c r="S82" s="670">
        <f t="shared" si="28"/>
        <v>521331</v>
      </c>
      <c r="T82" s="670">
        <f t="shared" si="29"/>
        <v>521331</v>
      </c>
    </row>
    <row r="83" spans="2:20">
      <c r="B83" s="697" t="s">
        <v>0</v>
      </c>
      <c r="C83" s="698" t="s">
        <v>30</v>
      </c>
      <c r="D83" s="665" t="s">
        <v>31</v>
      </c>
      <c r="E83" s="666" t="s">
        <v>40</v>
      </c>
      <c r="F83" s="693"/>
      <c r="H83" s="668">
        <v>0</v>
      </c>
      <c r="I83" s="669">
        <v>0</v>
      </c>
      <c r="J83" s="1008">
        <v>0</v>
      </c>
      <c r="K83" s="670">
        <v>0</v>
      </c>
      <c r="L83" s="670">
        <v>0</v>
      </c>
      <c r="M83" s="670">
        <v>0</v>
      </c>
      <c r="O83" s="953">
        <v>0</v>
      </c>
      <c r="P83" s="906">
        <f>+'Tariff simulation'!K64</f>
        <v>0</v>
      </c>
      <c r="Q83" s="907">
        <f>+'Tariff simulation'!L64</f>
        <v>0</v>
      </c>
      <c r="R83" s="670">
        <f t="shared" si="27"/>
        <v>0</v>
      </c>
      <c r="S83" s="670">
        <f t="shared" si="28"/>
        <v>0</v>
      </c>
      <c r="T83" s="670">
        <f t="shared" si="29"/>
        <v>0</v>
      </c>
    </row>
    <row r="84" spans="2:20">
      <c r="B84" s="699" t="s">
        <v>0</v>
      </c>
      <c r="C84" s="683" t="s">
        <v>30</v>
      </c>
      <c r="D84" s="684" t="s">
        <v>32</v>
      </c>
      <c r="E84" s="673" t="s">
        <v>40</v>
      </c>
      <c r="F84" s="674"/>
      <c r="H84" s="675">
        <v>4635629</v>
      </c>
      <c r="I84" s="676">
        <v>4635629</v>
      </c>
      <c r="J84" s="1009">
        <v>4635629</v>
      </c>
      <c r="K84" s="670">
        <v>4635629</v>
      </c>
      <c r="L84" s="670">
        <v>4635629</v>
      </c>
      <c r="M84" s="670">
        <v>4635629</v>
      </c>
      <c r="O84" s="949">
        <v>4635629</v>
      </c>
      <c r="P84" s="908">
        <f>+'Tariff simulation'!K65</f>
        <v>4635629</v>
      </c>
      <c r="Q84" s="909">
        <f>+'Tariff simulation'!L65</f>
        <v>4635629</v>
      </c>
      <c r="R84" s="670">
        <f t="shared" si="27"/>
        <v>4635629</v>
      </c>
      <c r="S84" s="670">
        <f t="shared" si="28"/>
        <v>4635629</v>
      </c>
      <c r="T84" s="670">
        <f t="shared" si="29"/>
        <v>4635629</v>
      </c>
    </row>
    <row r="85" spans="2:20">
      <c r="B85" s="699" t="s">
        <v>0</v>
      </c>
      <c r="C85" s="683" t="s">
        <v>30</v>
      </c>
      <c r="D85" s="672" t="s">
        <v>31</v>
      </c>
      <c r="E85" s="673" t="s">
        <v>41</v>
      </c>
      <c r="F85" s="674"/>
      <c r="H85" s="675">
        <v>0</v>
      </c>
      <c r="I85" s="676">
        <v>0</v>
      </c>
      <c r="J85" s="1009">
        <v>0</v>
      </c>
      <c r="K85" s="670">
        <v>0</v>
      </c>
      <c r="L85" s="670">
        <v>0</v>
      </c>
      <c r="M85" s="670">
        <v>0</v>
      </c>
      <c r="O85" s="949">
        <v>0</v>
      </c>
      <c r="P85" s="908">
        <f>+'Tariff simulation'!K66</f>
        <v>0</v>
      </c>
      <c r="Q85" s="909">
        <f>+'Tariff simulation'!L66</f>
        <v>0</v>
      </c>
      <c r="R85" s="670">
        <f t="shared" si="27"/>
        <v>0</v>
      </c>
      <c r="S85" s="670">
        <f t="shared" si="28"/>
        <v>0</v>
      </c>
      <c r="T85" s="670">
        <f t="shared" si="29"/>
        <v>0</v>
      </c>
    </row>
    <row r="86" spans="2:20">
      <c r="B86" s="699" t="s">
        <v>0</v>
      </c>
      <c r="C86" s="683" t="s">
        <v>30</v>
      </c>
      <c r="D86" s="672" t="s">
        <v>31</v>
      </c>
      <c r="E86" s="673" t="s">
        <v>42</v>
      </c>
      <c r="F86" s="674"/>
      <c r="H86" s="675">
        <v>0</v>
      </c>
      <c r="I86" s="676">
        <v>0</v>
      </c>
      <c r="J86" s="1009">
        <v>0</v>
      </c>
      <c r="K86" s="670">
        <v>0</v>
      </c>
      <c r="L86" s="670">
        <v>0</v>
      </c>
      <c r="M86" s="670">
        <v>0</v>
      </c>
      <c r="O86" s="949">
        <v>0</v>
      </c>
      <c r="P86" s="908">
        <f>+'Tariff simulation'!K67</f>
        <v>0</v>
      </c>
      <c r="Q86" s="909">
        <f>+'Tariff simulation'!L67</f>
        <v>0</v>
      </c>
      <c r="R86" s="670">
        <f t="shared" si="27"/>
        <v>0</v>
      </c>
      <c r="S86" s="670">
        <f t="shared" si="28"/>
        <v>0</v>
      </c>
      <c r="T86" s="670">
        <f t="shared" si="29"/>
        <v>0</v>
      </c>
    </row>
    <row r="87" spans="2:20">
      <c r="B87" s="699" t="s">
        <v>0</v>
      </c>
      <c r="C87" s="683" t="s">
        <v>30</v>
      </c>
      <c r="D87" s="672" t="s">
        <v>31</v>
      </c>
      <c r="E87" s="673" t="s">
        <v>43</v>
      </c>
      <c r="F87" s="674"/>
      <c r="H87" s="675">
        <v>0</v>
      </c>
      <c r="I87" s="676">
        <v>0</v>
      </c>
      <c r="J87" s="1009">
        <v>0</v>
      </c>
      <c r="K87" s="670">
        <v>0</v>
      </c>
      <c r="L87" s="670">
        <v>0</v>
      </c>
      <c r="M87" s="670">
        <v>0</v>
      </c>
      <c r="O87" s="949">
        <v>0</v>
      </c>
      <c r="P87" s="908">
        <f>+'Tariff simulation'!K68</f>
        <v>0</v>
      </c>
      <c r="Q87" s="909">
        <f>+'Tariff simulation'!L68</f>
        <v>0</v>
      </c>
      <c r="R87" s="670">
        <f t="shared" si="27"/>
        <v>0</v>
      </c>
      <c r="S87" s="670">
        <f t="shared" si="28"/>
        <v>0</v>
      </c>
      <c r="T87" s="670">
        <f t="shared" si="29"/>
        <v>0</v>
      </c>
    </row>
    <row r="88" spans="2:20">
      <c r="B88" s="699" t="s">
        <v>0</v>
      </c>
      <c r="C88" s="683" t="s">
        <v>30</v>
      </c>
      <c r="D88" s="672" t="s">
        <v>31</v>
      </c>
      <c r="E88" s="673" t="s">
        <v>44</v>
      </c>
      <c r="F88" s="674"/>
      <c r="H88" s="675">
        <v>0</v>
      </c>
      <c r="I88" s="676">
        <v>0</v>
      </c>
      <c r="J88" s="1009">
        <v>0</v>
      </c>
      <c r="K88" s="670">
        <v>0</v>
      </c>
      <c r="L88" s="670">
        <v>0</v>
      </c>
      <c r="M88" s="670">
        <v>0</v>
      </c>
      <c r="O88" s="949">
        <v>0</v>
      </c>
      <c r="P88" s="908">
        <f>+'Tariff simulation'!K69</f>
        <v>0</v>
      </c>
      <c r="Q88" s="909">
        <f>+'Tariff simulation'!L69</f>
        <v>0</v>
      </c>
      <c r="R88" s="670">
        <f t="shared" si="27"/>
        <v>0</v>
      </c>
      <c r="S88" s="670">
        <f t="shared" si="28"/>
        <v>0</v>
      </c>
      <c r="T88" s="670">
        <f t="shared" si="29"/>
        <v>0</v>
      </c>
    </row>
    <row r="89" spans="2:20">
      <c r="B89" s="699" t="s">
        <v>0</v>
      </c>
      <c r="C89" s="683" t="s">
        <v>30</v>
      </c>
      <c r="D89" s="684" t="s">
        <v>32</v>
      </c>
      <c r="E89" s="673" t="s">
        <v>44</v>
      </c>
      <c r="F89" s="674"/>
      <c r="H89" s="675">
        <v>2378663</v>
      </c>
      <c r="I89" s="676">
        <v>2378663</v>
      </c>
      <c r="J89" s="1009">
        <v>2378663</v>
      </c>
      <c r="K89" s="670">
        <v>2378663</v>
      </c>
      <c r="L89" s="670">
        <v>2378663</v>
      </c>
      <c r="M89" s="670">
        <v>2378663</v>
      </c>
      <c r="O89" s="949">
        <v>2378663</v>
      </c>
      <c r="P89" s="908">
        <f>+'Tariff simulation'!K70</f>
        <v>2378663</v>
      </c>
      <c r="Q89" s="909">
        <f>+'Tariff simulation'!L70</f>
        <v>2378663</v>
      </c>
      <c r="R89" s="670">
        <f t="shared" si="27"/>
        <v>2378663</v>
      </c>
      <c r="S89" s="670">
        <f t="shared" si="28"/>
        <v>2378663</v>
      </c>
      <c r="T89" s="670">
        <f t="shared" si="29"/>
        <v>2378663</v>
      </c>
    </row>
    <row r="90" spans="2:20">
      <c r="B90" s="699" t="s">
        <v>0</v>
      </c>
      <c r="C90" s="683" t="s">
        <v>30</v>
      </c>
      <c r="D90" s="672" t="s">
        <v>31</v>
      </c>
      <c r="E90" s="673" t="s">
        <v>45</v>
      </c>
      <c r="F90" s="674"/>
      <c r="H90" s="675">
        <v>0</v>
      </c>
      <c r="I90" s="676">
        <v>0</v>
      </c>
      <c r="J90" s="1009">
        <v>0</v>
      </c>
      <c r="K90" s="670">
        <v>0</v>
      </c>
      <c r="L90" s="670">
        <v>0</v>
      </c>
      <c r="M90" s="670">
        <v>0</v>
      </c>
      <c r="O90" s="949">
        <v>0</v>
      </c>
      <c r="P90" s="908">
        <f>+'Tariff simulation'!K71</f>
        <v>0</v>
      </c>
      <c r="Q90" s="909">
        <f>+'Tariff simulation'!L71</f>
        <v>0</v>
      </c>
      <c r="R90" s="670">
        <f t="shared" si="27"/>
        <v>0</v>
      </c>
      <c r="S90" s="670">
        <f t="shared" si="28"/>
        <v>0</v>
      </c>
      <c r="T90" s="670">
        <f t="shared" si="29"/>
        <v>0</v>
      </c>
    </row>
    <row r="91" spans="2:20">
      <c r="B91" s="700" t="s">
        <v>0</v>
      </c>
      <c r="C91" s="686" t="s">
        <v>30</v>
      </c>
      <c r="D91" s="696" t="s">
        <v>31</v>
      </c>
      <c r="E91" s="688" t="s">
        <v>46</v>
      </c>
      <c r="F91" s="689"/>
      <c r="H91" s="690">
        <v>21422795</v>
      </c>
      <c r="I91" s="691">
        <v>21422795</v>
      </c>
      <c r="J91" s="1010">
        <v>21422795</v>
      </c>
      <c r="K91" s="670">
        <v>21422795</v>
      </c>
      <c r="L91" s="670">
        <v>21422795</v>
      </c>
      <c r="M91" s="670">
        <v>21422795</v>
      </c>
      <c r="O91" s="948">
        <v>21422795</v>
      </c>
      <c r="P91" s="902">
        <f>+'Tariff simulation'!K72</f>
        <v>21422795</v>
      </c>
      <c r="Q91" s="903">
        <f>+'Tariff simulation'!L72</f>
        <v>21422795</v>
      </c>
      <c r="R91" s="670">
        <f t="shared" si="27"/>
        <v>21422795</v>
      </c>
      <c r="S91" s="670">
        <f t="shared" si="28"/>
        <v>21422795</v>
      </c>
      <c r="T91" s="670">
        <f t="shared" si="29"/>
        <v>21422795</v>
      </c>
    </row>
    <row r="92" spans="2:20">
      <c r="B92" s="692" t="s">
        <v>13</v>
      </c>
      <c r="C92" s="698" t="s">
        <v>30</v>
      </c>
      <c r="D92" s="665" t="s">
        <v>31</v>
      </c>
      <c r="E92" s="666" t="s">
        <v>47</v>
      </c>
      <c r="F92" s="693"/>
      <c r="H92" s="668">
        <v>1111502.9999999988</v>
      </c>
      <c r="I92" s="669">
        <v>1111502.9999999988</v>
      </c>
      <c r="J92" s="1008">
        <v>1111502.9999999988</v>
      </c>
      <c r="K92" s="670">
        <v>1111502.9999999988</v>
      </c>
      <c r="L92" s="670">
        <v>1111502.9999999988</v>
      </c>
      <c r="M92" s="670">
        <v>1111502.9999999988</v>
      </c>
      <c r="O92" s="953">
        <v>1111502.9999999988</v>
      </c>
      <c r="P92" s="906">
        <f>+'Tariff simulation'!K73</f>
        <v>1111502.9999999988</v>
      </c>
      <c r="Q92" s="907">
        <f>+'Tariff simulation'!L73</f>
        <v>1111502.9999999988</v>
      </c>
      <c r="R92" s="670">
        <f t="shared" si="27"/>
        <v>1111502.9999999988</v>
      </c>
      <c r="S92" s="670">
        <f t="shared" si="28"/>
        <v>1111502.9999999988</v>
      </c>
      <c r="T92" s="670">
        <f t="shared" si="29"/>
        <v>1111502.9999999988</v>
      </c>
    </row>
    <row r="93" spans="2:20">
      <c r="B93" s="694" t="s">
        <v>13</v>
      </c>
      <c r="C93" s="683" t="s">
        <v>30</v>
      </c>
      <c r="D93" s="672" t="s">
        <v>31</v>
      </c>
      <c r="E93" s="673" t="s">
        <v>48</v>
      </c>
      <c r="F93" s="674"/>
      <c r="H93" s="675">
        <v>166730.99999999983</v>
      </c>
      <c r="I93" s="676">
        <v>166730.99999999983</v>
      </c>
      <c r="J93" s="1009">
        <v>166730.99999999983</v>
      </c>
      <c r="K93" s="670">
        <v>166730.99999999983</v>
      </c>
      <c r="L93" s="670">
        <v>166730.99999999983</v>
      </c>
      <c r="M93" s="670">
        <v>166730.99999999983</v>
      </c>
      <c r="O93" s="949">
        <v>166730.99999999983</v>
      </c>
      <c r="P93" s="908">
        <f>+'Tariff simulation'!K74</f>
        <v>166730.99999999983</v>
      </c>
      <c r="Q93" s="909">
        <f>+'Tariff simulation'!L74</f>
        <v>166730.99999999983</v>
      </c>
      <c r="R93" s="670">
        <f t="shared" si="27"/>
        <v>166730.99999999983</v>
      </c>
      <c r="S93" s="670">
        <f t="shared" si="28"/>
        <v>166730.99999999983</v>
      </c>
      <c r="T93" s="670">
        <f t="shared" si="29"/>
        <v>166730.99999999983</v>
      </c>
    </row>
    <row r="94" spans="2:20">
      <c r="B94" s="694" t="s">
        <v>13</v>
      </c>
      <c r="C94" s="683" t="s">
        <v>30</v>
      </c>
      <c r="D94" s="672" t="s">
        <v>31</v>
      </c>
      <c r="E94" s="673" t="s">
        <v>49</v>
      </c>
      <c r="F94" s="674"/>
      <c r="H94" s="675">
        <v>221438.99999999977</v>
      </c>
      <c r="I94" s="676">
        <v>221438.99999999977</v>
      </c>
      <c r="J94" s="1009">
        <v>221438.99999999977</v>
      </c>
      <c r="K94" s="670">
        <v>221438.99999999977</v>
      </c>
      <c r="L94" s="670">
        <v>221438.99999999977</v>
      </c>
      <c r="M94" s="670">
        <v>221438.99999999977</v>
      </c>
      <c r="O94" s="949">
        <v>221438.99999999977</v>
      </c>
      <c r="P94" s="908">
        <f>+'Tariff simulation'!K75</f>
        <v>221438.99999999977</v>
      </c>
      <c r="Q94" s="909">
        <f>+'Tariff simulation'!L75</f>
        <v>221438.99999999977</v>
      </c>
      <c r="R94" s="670">
        <f t="shared" si="27"/>
        <v>221438.99999999977</v>
      </c>
      <c r="S94" s="670">
        <f t="shared" si="28"/>
        <v>221438.99999999977</v>
      </c>
      <c r="T94" s="670">
        <f t="shared" si="29"/>
        <v>221438.99999999977</v>
      </c>
    </row>
    <row r="95" spans="2:20">
      <c r="B95" s="694" t="s">
        <v>13</v>
      </c>
      <c r="C95" s="683" t="s">
        <v>30</v>
      </c>
      <c r="D95" s="672" t="s">
        <v>31</v>
      </c>
      <c r="E95" s="673" t="s">
        <v>50</v>
      </c>
      <c r="F95" s="674"/>
      <c r="H95" s="675">
        <v>1952542.9999999979</v>
      </c>
      <c r="I95" s="676">
        <v>1952542.9999999979</v>
      </c>
      <c r="J95" s="1009">
        <v>1952542.9999999979</v>
      </c>
      <c r="K95" s="670">
        <v>1952542.9999999979</v>
      </c>
      <c r="L95" s="670">
        <v>1952542.9999999979</v>
      </c>
      <c r="M95" s="670">
        <v>1952542.9999999979</v>
      </c>
      <c r="O95" s="949">
        <v>1952542.9999999979</v>
      </c>
      <c r="P95" s="908">
        <f>+'Tariff simulation'!K76</f>
        <v>1952542.9999999979</v>
      </c>
      <c r="Q95" s="909">
        <f>+'Tariff simulation'!L76</f>
        <v>1952542.9999999979</v>
      </c>
      <c r="R95" s="670">
        <f t="shared" si="27"/>
        <v>1952542.9999999979</v>
      </c>
      <c r="S95" s="670">
        <f t="shared" si="28"/>
        <v>1952542.9999999979</v>
      </c>
      <c r="T95" s="670">
        <f t="shared" si="29"/>
        <v>1952542.9999999979</v>
      </c>
    </row>
    <row r="96" spans="2:20">
      <c r="B96" s="694" t="s">
        <v>13</v>
      </c>
      <c r="C96" s="683" t="s">
        <v>30</v>
      </c>
      <c r="D96" s="672" t="s">
        <v>31</v>
      </c>
      <c r="E96" s="673" t="s">
        <v>51</v>
      </c>
      <c r="F96" s="674"/>
      <c r="H96" s="675">
        <v>110455.99999999988</v>
      </c>
      <c r="I96" s="676">
        <v>110455.99999999988</v>
      </c>
      <c r="J96" s="1009">
        <v>110455.99999999988</v>
      </c>
      <c r="K96" s="670">
        <v>110455.99999999988</v>
      </c>
      <c r="L96" s="670">
        <v>110455.99999999988</v>
      </c>
      <c r="M96" s="670">
        <v>110455.99999999988</v>
      </c>
      <c r="O96" s="949">
        <v>110455.99999999988</v>
      </c>
      <c r="P96" s="908">
        <f>+'Tariff simulation'!K77</f>
        <v>110455.99999999988</v>
      </c>
      <c r="Q96" s="909">
        <f>+'Tariff simulation'!L77</f>
        <v>110455.99999999988</v>
      </c>
      <c r="R96" s="670">
        <f t="shared" si="27"/>
        <v>110455.99999999988</v>
      </c>
      <c r="S96" s="670">
        <f t="shared" si="28"/>
        <v>110455.99999999988</v>
      </c>
      <c r="T96" s="670">
        <f t="shared" si="29"/>
        <v>110455.99999999988</v>
      </c>
    </row>
    <row r="97" spans="2:20">
      <c r="B97" s="694" t="s">
        <v>13</v>
      </c>
      <c r="C97" s="683" t="s">
        <v>30</v>
      </c>
      <c r="D97" s="672" t="s">
        <v>31</v>
      </c>
      <c r="E97" s="673" t="s">
        <v>52</v>
      </c>
      <c r="F97" s="674"/>
      <c r="H97" s="675">
        <v>55222.999999999942</v>
      </c>
      <c r="I97" s="676">
        <v>55222.999999999942</v>
      </c>
      <c r="J97" s="1009">
        <v>55222.999999999942</v>
      </c>
      <c r="K97" s="670">
        <v>55222.999999999942</v>
      </c>
      <c r="L97" s="670">
        <v>55222.999999999942</v>
      </c>
      <c r="M97" s="670">
        <v>55222.999999999942</v>
      </c>
      <c r="O97" s="949">
        <v>55222.999999999942</v>
      </c>
      <c r="P97" s="908">
        <f>+'Tariff simulation'!K78</f>
        <v>55222.999999999942</v>
      </c>
      <c r="Q97" s="909">
        <f>+'Tariff simulation'!L78</f>
        <v>55222.999999999942</v>
      </c>
      <c r="R97" s="670">
        <f t="shared" si="27"/>
        <v>55222.999999999942</v>
      </c>
      <c r="S97" s="670">
        <f t="shared" si="28"/>
        <v>55222.999999999942</v>
      </c>
      <c r="T97" s="670">
        <f t="shared" si="29"/>
        <v>55222.999999999942</v>
      </c>
    </row>
    <row r="98" spans="2:20">
      <c r="B98" s="694" t="s">
        <v>13</v>
      </c>
      <c r="C98" s="683" t="s">
        <v>30</v>
      </c>
      <c r="D98" s="672" t="s">
        <v>31</v>
      </c>
      <c r="E98" s="673" t="s">
        <v>53</v>
      </c>
      <c r="F98" s="674"/>
      <c r="H98" s="675">
        <v>22021.999999999978</v>
      </c>
      <c r="I98" s="676">
        <v>22021.999999999978</v>
      </c>
      <c r="J98" s="1009">
        <v>22021.999999999978</v>
      </c>
      <c r="K98" s="670">
        <v>22021.999999999978</v>
      </c>
      <c r="L98" s="670">
        <v>22021.999999999978</v>
      </c>
      <c r="M98" s="670">
        <v>22021.999999999978</v>
      </c>
      <c r="O98" s="949">
        <v>22021.999999999978</v>
      </c>
      <c r="P98" s="908">
        <f>+'Tariff simulation'!K79</f>
        <v>22021.999999999978</v>
      </c>
      <c r="Q98" s="909">
        <f>+'Tariff simulation'!L79</f>
        <v>22021.999999999978</v>
      </c>
      <c r="R98" s="670">
        <f t="shared" si="27"/>
        <v>22021.999999999978</v>
      </c>
      <c r="S98" s="670">
        <f t="shared" si="28"/>
        <v>22021.999999999978</v>
      </c>
      <c r="T98" s="670">
        <f t="shared" si="29"/>
        <v>22021.999999999978</v>
      </c>
    </row>
    <row r="99" spans="2:20">
      <c r="B99" s="694" t="s">
        <v>13</v>
      </c>
      <c r="C99" s="683" t="s">
        <v>30</v>
      </c>
      <c r="D99" s="672" t="s">
        <v>31</v>
      </c>
      <c r="E99" s="673" t="s">
        <v>54</v>
      </c>
      <c r="F99" s="674"/>
      <c r="H99" s="675">
        <v>110086.9999999999</v>
      </c>
      <c r="I99" s="676">
        <v>110086.9999999999</v>
      </c>
      <c r="J99" s="1009">
        <v>110086.9999999999</v>
      </c>
      <c r="K99" s="670">
        <v>110086.9999999999</v>
      </c>
      <c r="L99" s="670">
        <v>110086.9999999999</v>
      </c>
      <c r="M99" s="670">
        <v>110086.9999999999</v>
      </c>
      <c r="O99" s="949">
        <v>110086.9999999999</v>
      </c>
      <c r="P99" s="908">
        <f>+'Tariff simulation'!K80</f>
        <v>110086.9999999999</v>
      </c>
      <c r="Q99" s="909">
        <f>+'Tariff simulation'!L80</f>
        <v>110086.9999999999</v>
      </c>
      <c r="R99" s="670">
        <f t="shared" si="27"/>
        <v>110086.9999999999</v>
      </c>
      <c r="S99" s="670">
        <f t="shared" si="28"/>
        <v>110086.9999999999</v>
      </c>
      <c r="T99" s="670">
        <f t="shared" si="29"/>
        <v>110086.9999999999</v>
      </c>
    </row>
    <row r="100" spans="2:20" ht="15.75" thickBot="1">
      <c r="B100" s="701" t="s">
        <v>13</v>
      </c>
      <c r="C100" s="702" t="s">
        <v>30</v>
      </c>
      <c r="D100" s="703" t="s">
        <v>31</v>
      </c>
      <c r="E100" s="704" t="s">
        <v>55</v>
      </c>
      <c r="F100" s="609"/>
      <c r="H100" s="705">
        <v>284538.99999999971</v>
      </c>
      <c r="I100" s="706">
        <v>284538.99999999971</v>
      </c>
      <c r="J100" s="1011">
        <v>284538.99999999971</v>
      </c>
      <c r="K100" s="670">
        <v>284538.99999999971</v>
      </c>
      <c r="L100" s="670">
        <v>284538.99999999971</v>
      </c>
      <c r="M100" s="670">
        <v>284538.99999999971</v>
      </c>
      <c r="O100" s="954">
        <v>284538.99999999971</v>
      </c>
      <c r="P100" s="910">
        <f>+'Tariff simulation'!K81</f>
        <v>284538.99999999971</v>
      </c>
      <c r="Q100" s="911">
        <f>+'Tariff simulation'!L81</f>
        <v>284538.99999999971</v>
      </c>
      <c r="R100" s="670">
        <f t="shared" si="27"/>
        <v>284538.99999999971</v>
      </c>
      <c r="S100" s="670">
        <f t="shared" si="28"/>
        <v>284538.99999999971</v>
      </c>
      <c r="T100" s="670">
        <f t="shared" si="29"/>
        <v>284538.99999999971</v>
      </c>
    </row>
    <row r="101" spans="2:20" ht="15.75" thickBot="1">
      <c r="B101" s="707"/>
      <c r="D101" s="707"/>
      <c r="H101" s="708"/>
      <c r="I101" s="708"/>
      <c r="J101" s="708"/>
      <c r="K101" s="708"/>
      <c r="L101" s="708"/>
      <c r="M101" s="708"/>
      <c r="O101" s="605"/>
      <c r="P101" s="605"/>
      <c r="Q101" s="605"/>
      <c r="R101" s="708"/>
      <c r="S101" s="708"/>
      <c r="T101" s="708"/>
    </row>
    <row r="102" spans="2:20" ht="15.75" hidden="1" outlineLevel="1" thickBot="1">
      <c r="B102" s="707"/>
      <c r="D102" s="707"/>
      <c r="H102" s="708"/>
      <c r="I102" s="708"/>
      <c r="J102" s="708"/>
      <c r="K102" s="708"/>
      <c r="L102" s="708"/>
      <c r="M102" s="708"/>
      <c r="O102" s="605"/>
      <c r="P102" s="605"/>
      <c r="Q102" s="605"/>
      <c r="R102" s="708"/>
      <c r="S102" s="708"/>
      <c r="T102" s="708"/>
    </row>
    <row r="103" spans="2:20" ht="15.75" hidden="1" outlineLevel="1" thickBot="1">
      <c r="B103" s="542" t="s">
        <v>369</v>
      </c>
      <c r="C103" s="543"/>
      <c r="D103" s="709"/>
      <c r="E103" s="543"/>
      <c r="F103" s="545"/>
      <c r="H103" s="535" t="s">
        <v>250</v>
      </c>
      <c r="I103" s="536" t="s">
        <v>252</v>
      </c>
      <c r="J103" s="537" t="s">
        <v>383</v>
      </c>
      <c r="K103" s="521"/>
      <c r="L103" s="521"/>
      <c r="M103" s="521"/>
      <c r="O103" s="538" t="s">
        <v>360</v>
      </c>
      <c r="P103" s="539" t="s">
        <v>361</v>
      </c>
      <c r="Q103" s="540" t="s">
        <v>362</v>
      </c>
      <c r="R103" s="708"/>
      <c r="S103" s="708"/>
      <c r="T103" s="708"/>
    </row>
    <row r="104" spans="2:20" ht="15.75" hidden="1" outlineLevel="1" thickBot="1">
      <c r="H104" s="710">
        <f>rpm_start_year</f>
        <v>2025</v>
      </c>
      <c r="I104" s="711">
        <f>H104+1</f>
        <v>2026</v>
      </c>
      <c r="J104" s="1000">
        <f>I104+1</f>
        <v>2027</v>
      </c>
      <c r="K104" s="551"/>
      <c r="L104" s="551"/>
      <c r="M104" s="551"/>
      <c r="O104" s="712">
        <f>rpm_start_year</f>
        <v>2025</v>
      </c>
      <c r="P104" s="713">
        <f>O104+1</f>
        <v>2026</v>
      </c>
      <c r="Q104" s="714">
        <f>P104+1</f>
        <v>2027</v>
      </c>
    </row>
    <row r="105" spans="2:20" hidden="1" outlineLevel="1">
      <c r="B105" s="653" t="s">
        <v>26</v>
      </c>
      <c r="C105" s="715" t="s">
        <v>27</v>
      </c>
      <c r="D105" s="715" t="s">
        <v>28</v>
      </c>
      <c r="E105" s="716" t="s">
        <v>283</v>
      </c>
      <c r="F105" s="656"/>
      <c r="H105" s="717" t="s">
        <v>127</v>
      </c>
      <c r="I105" s="718" t="s">
        <v>127</v>
      </c>
      <c r="J105" s="719" t="s">
        <v>127</v>
      </c>
      <c r="K105" s="660"/>
      <c r="L105" s="660"/>
      <c r="M105" s="660"/>
      <c r="O105" s="720" t="s">
        <v>127</v>
      </c>
      <c r="P105" s="721" t="s">
        <v>127</v>
      </c>
      <c r="Q105" s="722" t="s">
        <v>127</v>
      </c>
      <c r="R105" s="660"/>
      <c r="S105" s="660"/>
      <c r="T105" s="660"/>
    </row>
    <row r="106" spans="2:20" hidden="1" outlineLevel="1">
      <c r="B106" s="723" t="s">
        <v>0</v>
      </c>
      <c r="C106" s="724" t="s">
        <v>21</v>
      </c>
      <c r="D106" s="725" t="s">
        <v>277</v>
      </c>
      <c r="E106" s="724" t="s">
        <v>225</v>
      </c>
      <c r="F106" s="667"/>
      <c r="H106" s="726">
        <v>7873076702.999999</v>
      </c>
      <c r="I106" s="727">
        <v>0</v>
      </c>
      <c r="J106" s="1001">
        <v>0</v>
      </c>
      <c r="K106" s="606"/>
      <c r="L106" s="606"/>
      <c r="M106" s="606"/>
      <c r="O106" s="955">
        <v>7873076702.999999</v>
      </c>
      <c r="P106" s="912">
        <v>0</v>
      </c>
      <c r="Q106" s="913">
        <v>0</v>
      </c>
      <c r="R106" s="606"/>
      <c r="S106" s="606"/>
      <c r="T106" s="606"/>
    </row>
    <row r="107" spans="2:20" hidden="1" outlineLevel="1">
      <c r="B107" s="699" t="s">
        <v>0</v>
      </c>
      <c r="C107" s="729" t="s">
        <v>21</v>
      </c>
      <c r="D107" s="730" t="s">
        <v>277</v>
      </c>
      <c r="E107" s="729" t="s">
        <v>226</v>
      </c>
      <c r="F107" s="674"/>
      <c r="H107" s="731">
        <v>41209160334.014389</v>
      </c>
      <c r="I107" s="732">
        <v>4120916033</v>
      </c>
      <c r="J107" s="1002">
        <v>4120916033</v>
      </c>
      <c r="K107" s="606"/>
      <c r="L107" s="606"/>
      <c r="M107" s="606"/>
      <c r="O107" s="956">
        <v>41209160334.014389</v>
      </c>
      <c r="P107" s="914">
        <v>4120916033</v>
      </c>
      <c r="Q107" s="915">
        <v>4120916033</v>
      </c>
      <c r="R107" s="606"/>
      <c r="S107" s="606"/>
      <c r="T107" s="606"/>
    </row>
    <row r="108" spans="2:20" hidden="1" outlineLevel="1">
      <c r="B108" s="699" t="s">
        <v>0</v>
      </c>
      <c r="C108" s="729" t="s">
        <v>21</v>
      </c>
      <c r="D108" s="730" t="s">
        <v>277</v>
      </c>
      <c r="E108" s="729" t="s">
        <v>23</v>
      </c>
      <c r="F108" s="674"/>
      <c r="H108" s="731">
        <v>56380240171.232864</v>
      </c>
      <c r="I108" s="732">
        <v>60068188116</v>
      </c>
      <c r="J108" s="1002">
        <v>60068188116</v>
      </c>
      <c r="K108" s="606"/>
      <c r="L108" s="606"/>
      <c r="M108" s="606"/>
      <c r="O108" s="956">
        <v>56380240171.232864</v>
      </c>
      <c r="P108" s="914">
        <v>60068188116</v>
      </c>
      <c r="Q108" s="915">
        <v>60068188116</v>
      </c>
      <c r="R108" s="606"/>
      <c r="S108" s="606"/>
      <c r="T108" s="606"/>
    </row>
    <row r="109" spans="2:20" hidden="1" outlineLevel="1">
      <c r="B109" s="699" t="s">
        <v>0</v>
      </c>
      <c r="C109" s="729" t="s">
        <v>21</v>
      </c>
      <c r="D109" s="730" t="s">
        <v>277</v>
      </c>
      <c r="E109" s="729" t="s">
        <v>227</v>
      </c>
      <c r="F109" s="674"/>
      <c r="H109" s="731">
        <v>0</v>
      </c>
      <c r="I109" s="732">
        <v>7165934040</v>
      </c>
      <c r="J109" s="1002">
        <v>7165934040</v>
      </c>
      <c r="K109" s="606"/>
      <c r="L109" s="606"/>
      <c r="M109" s="606"/>
      <c r="O109" s="956">
        <v>0</v>
      </c>
      <c r="P109" s="914">
        <v>7165934040</v>
      </c>
      <c r="Q109" s="915">
        <v>7165934040</v>
      </c>
      <c r="R109" s="606"/>
      <c r="S109" s="606"/>
      <c r="T109" s="606"/>
    </row>
    <row r="110" spans="2:20" hidden="1" outlineLevel="1">
      <c r="B110" s="699" t="s">
        <v>0</v>
      </c>
      <c r="C110" s="729" t="s">
        <v>21</v>
      </c>
      <c r="D110" s="730" t="s">
        <v>277</v>
      </c>
      <c r="E110" s="729" t="s">
        <v>228</v>
      </c>
      <c r="F110" s="674"/>
      <c r="H110" s="731">
        <v>19733489949.661652</v>
      </c>
      <c r="I110" s="732">
        <v>0</v>
      </c>
      <c r="J110" s="1002">
        <v>0</v>
      </c>
      <c r="K110" s="606"/>
      <c r="L110" s="606"/>
      <c r="M110" s="606"/>
      <c r="O110" s="956">
        <v>19733489949.661652</v>
      </c>
      <c r="P110" s="914">
        <v>0</v>
      </c>
      <c r="Q110" s="915">
        <v>0</v>
      </c>
      <c r="R110" s="606"/>
      <c r="S110" s="606"/>
      <c r="T110" s="606"/>
    </row>
    <row r="111" spans="2:20" hidden="1" outlineLevel="1">
      <c r="B111" s="699" t="s">
        <v>0</v>
      </c>
      <c r="C111" s="733" t="s">
        <v>30</v>
      </c>
      <c r="D111" s="730" t="s">
        <v>277</v>
      </c>
      <c r="E111" s="729" t="s">
        <v>226</v>
      </c>
      <c r="F111" s="674"/>
      <c r="H111" s="731">
        <v>11190000000</v>
      </c>
      <c r="I111" s="732">
        <v>0</v>
      </c>
      <c r="J111" s="1002">
        <v>0</v>
      </c>
      <c r="K111" s="606"/>
      <c r="L111" s="606"/>
      <c r="M111" s="606"/>
      <c r="O111" s="956">
        <v>11190000000</v>
      </c>
      <c r="P111" s="914">
        <v>0</v>
      </c>
      <c r="Q111" s="915">
        <v>0</v>
      </c>
      <c r="R111" s="606"/>
      <c r="S111" s="606"/>
      <c r="T111" s="606"/>
    </row>
    <row r="112" spans="2:20" hidden="1" outlineLevel="1">
      <c r="B112" s="699" t="s">
        <v>0</v>
      </c>
      <c r="C112" s="733" t="s">
        <v>30</v>
      </c>
      <c r="D112" s="730" t="s">
        <v>277</v>
      </c>
      <c r="E112" s="729" t="s">
        <v>39</v>
      </c>
      <c r="F112" s="674"/>
      <c r="H112" s="731">
        <v>23499000000.000008</v>
      </c>
      <c r="I112" s="732">
        <v>23499000000</v>
      </c>
      <c r="J112" s="1002">
        <v>23499000000</v>
      </c>
      <c r="K112" s="606"/>
      <c r="L112" s="606"/>
      <c r="M112" s="606"/>
      <c r="O112" s="956">
        <v>23499000000.000008</v>
      </c>
      <c r="P112" s="914">
        <v>23499000000</v>
      </c>
      <c r="Q112" s="915">
        <v>23499000000</v>
      </c>
      <c r="R112" s="606"/>
      <c r="S112" s="606"/>
      <c r="T112" s="606"/>
    </row>
    <row r="113" spans="2:22" hidden="1" outlineLevel="1">
      <c r="B113" s="699" t="s">
        <v>0</v>
      </c>
      <c r="C113" s="733" t="s">
        <v>30</v>
      </c>
      <c r="D113" s="730" t="s">
        <v>277</v>
      </c>
      <c r="E113" s="729" t="s">
        <v>230</v>
      </c>
      <c r="F113" s="674"/>
      <c r="H113" s="731">
        <v>6550835116.1917782</v>
      </c>
      <c r="I113" s="732">
        <v>6550835116</v>
      </c>
      <c r="J113" s="1002">
        <v>6550835116</v>
      </c>
      <c r="K113" s="606"/>
      <c r="L113" s="606"/>
      <c r="M113" s="606"/>
      <c r="O113" s="956">
        <v>6550835116.1917782</v>
      </c>
      <c r="P113" s="914">
        <v>6550835116</v>
      </c>
      <c r="Q113" s="915">
        <v>6550835116</v>
      </c>
      <c r="R113" s="606"/>
      <c r="S113" s="606"/>
      <c r="T113" s="606"/>
    </row>
    <row r="114" spans="2:22" hidden="1" outlineLevel="1">
      <c r="B114" s="699" t="s">
        <v>0</v>
      </c>
      <c r="C114" s="733" t="s">
        <v>30</v>
      </c>
      <c r="D114" s="730" t="s">
        <v>277</v>
      </c>
      <c r="E114" s="729" t="s">
        <v>23</v>
      </c>
      <c r="F114" s="674"/>
      <c r="H114" s="731">
        <v>691039416.832286</v>
      </c>
      <c r="I114" s="732">
        <v>0</v>
      </c>
      <c r="J114" s="1002">
        <v>0</v>
      </c>
      <c r="K114" s="606"/>
      <c r="L114" s="606"/>
      <c r="M114" s="606"/>
      <c r="O114" s="956">
        <v>691039416.832286</v>
      </c>
      <c r="P114" s="914">
        <v>0</v>
      </c>
      <c r="Q114" s="915">
        <v>0</v>
      </c>
      <c r="R114" s="606"/>
      <c r="S114" s="606"/>
      <c r="T114" s="606"/>
    </row>
    <row r="115" spans="2:22" hidden="1" outlineLevel="1">
      <c r="B115" s="699" t="s">
        <v>0</v>
      </c>
      <c r="C115" s="733" t="s">
        <v>30</v>
      </c>
      <c r="D115" s="730" t="s">
        <v>277</v>
      </c>
      <c r="E115" s="729" t="s">
        <v>34</v>
      </c>
      <c r="F115" s="674"/>
      <c r="H115" s="731">
        <v>0</v>
      </c>
      <c r="I115" s="732">
        <v>0</v>
      </c>
      <c r="J115" s="1002">
        <v>0</v>
      </c>
      <c r="K115" s="606"/>
      <c r="L115" s="606"/>
      <c r="M115" s="606"/>
      <c r="O115" s="956">
        <v>0</v>
      </c>
      <c r="P115" s="914">
        <v>0</v>
      </c>
      <c r="Q115" s="915">
        <v>0</v>
      </c>
      <c r="R115" s="606"/>
      <c r="S115" s="606"/>
      <c r="T115" s="606"/>
    </row>
    <row r="116" spans="2:22" hidden="1" outlineLevel="1">
      <c r="B116" s="699" t="s">
        <v>0</v>
      </c>
      <c r="C116" s="733" t="s">
        <v>30</v>
      </c>
      <c r="D116" s="730" t="s">
        <v>277</v>
      </c>
      <c r="E116" s="729" t="s">
        <v>227</v>
      </c>
      <c r="F116" s="674"/>
      <c r="H116" s="731">
        <v>0</v>
      </c>
      <c r="I116" s="732">
        <v>0</v>
      </c>
      <c r="J116" s="1002">
        <v>0</v>
      </c>
      <c r="K116" s="606"/>
      <c r="L116" s="606"/>
      <c r="M116" s="606"/>
      <c r="O116" s="956">
        <v>0</v>
      </c>
      <c r="P116" s="914">
        <v>0</v>
      </c>
      <c r="Q116" s="915">
        <v>0</v>
      </c>
      <c r="R116" s="606"/>
      <c r="S116" s="606"/>
      <c r="T116" s="606"/>
    </row>
    <row r="117" spans="2:22" hidden="1" outlineLevel="1">
      <c r="B117" s="699" t="s">
        <v>0</v>
      </c>
      <c r="C117" s="733" t="s">
        <v>30</v>
      </c>
      <c r="D117" s="730" t="s">
        <v>277</v>
      </c>
      <c r="E117" s="729" t="s">
        <v>228</v>
      </c>
      <c r="F117" s="674"/>
      <c r="H117" s="731">
        <v>2652731317.0000005</v>
      </c>
      <c r="I117" s="732">
        <v>0</v>
      </c>
      <c r="J117" s="1002">
        <v>0</v>
      </c>
      <c r="K117" s="606"/>
      <c r="L117" s="606"/>
      <c r="M117" s="606"/>
      <c r="O117" s="956">
        <v>2652731317.0000005</v>
      </c>
      <c r="P117" s="914">
        <v>0</v>
      </c>
      <c r="Q117" s="915">
        <v>0</v>
      </c>
      <c r="R117" s="606"/>
      <c r="S117" s="606"/>
      <c r="T117" s="606"/>
    </row>
    <row r="118" spans="2:22" hidden="1" outlineLevel="1">
      <c r="B118" s="699" t="s">
        <v>0</v>
      </c>
      <c r="C118" s="729" t="s">
        <v>21</v>
      </c>
      <c r="D118" s="730" t="s">
        <v>277</v>
      </c>
      <c r="E118" s="729" t="s">
        <v>231</v>
      </c>
      <c r="F118" s="674"/>
      <c r="H118" s="731">
        <v>1839918104</v>
      </c>
      <c r="I118" s="732">
        <v>1839918104</v>
      </c>
      <c r="J118" s="1002">
        <v>1839918104</v>
      </c>
      <c r="K118" s="606"/>
      <c r="L118" s="606"/>
      <c r="M118" s="606"/>
      <c r="O118" s="956">
        <v>1839918104</v>
      </c>
      <c r="P118" s="914">
        <v>1839918104</v>
      </c>
      <c r="Q118" s="915">
        <v>1839918104</v>
      </c>
      <c r="R118" s="606"/>
      <c r="S118" s="606"/>
      <c r="T118" s="606"/>
    </row>
    <row r="119" spans="2:22" hidden="1" outlineLevel="1">
      <c r="B119" s="699" t="s">
        <v>0</v>
      </c>
      <c r="C119" s="729" t="s">
        <v>21</v>
      </c>
      <c r="D119" s="730" t="s">
        <v>277</v>
      </c>
      <c r="E119" s="729" t="s">
        <v>183</v>
      </c>
      <c r="F119" s="674"/>
      <c r="H119" s="731">
        <v>14807971364.390549</v>
      </c>
      <c r="I119" s="732">
        <v>14807971364</v>
      </c>
      <c r="J119" s="1002">
        <v>14807971364</v>
      </c>
      <c r="K119" s="606"/>
      <c r="L119" s="606"/>
      <c r="M119" s="606"/>
      <c r="O119" s="956">
        <v>14807971364.390549</v>
      </c>
      <c r="P119" s="914">
        <v>14807971364</v>
      </c>
      <c r="Q119" s="915">
        <v>14807971364</v>
      </c>
      <c r="R119" s="606"/>
      <c r="S119" s="606"/>
      <c r="T119" s="606"/>
    </row>
    <row r="120" spans="2:22" hidden="1" outlineLevel="1">
      <c r="B120" s="699" t="s">
        <v>0</v>
      </c>
      <c r="C120" s="733" t="s">
        <v>30</v>
      </c>
      <c r="D120" s="730" t="s">
        <v>277</v>
      </c>
      <c r="E120" s="729" t="s">
        <v>231</v>
      </c>
      <c r="F120" s="674"/>
      <c r="H120" s="731">
        <v>70497000000</v>
      </c>
      <c r="I120" s="732">
        <v>63447300000</v>
      </c>
      <c r="J120" s="1002">
        <v>63447300000</v>
      </c>
      <c r="K120" s="606"/>
      <c r="L120" s="606"/>
      <c r="M120" s="606"/>
      <c r="O120" s="956">
        <v>70497000000</v>
      </c>
      <c r="P120" s="914">
        <v>63447300000</v>
      </c>
      <c r="Q120" s="915">
        <v>63447300000</v>
      </c>
      <c r="R120" s="606"/>
      <c r="S120" s="606"/>
      <c r="T120" s="606"/>
    </row>
    <row r="121" spans="2:22" hidden="1" outlineLevel="1">
      <c r="B121" s="700" t="s">
        <v>0</v>
      </c>
      <c r="C121" s="734" t="s">
        <v>30</v>
      </c>
      <c r="D121" s="735" t="s">
        <v>277</v>
      </c>
      <c r="E121" s="736" t="s">
        <v>183</v>
      </c>
      <c r="F121" s="689"/>
      <c r="H121" s="737">
        <v>28445975851.511768</v>
      </c>
      <c r="I121" s="738">
        <v>14807971364</v>
      </c>
      <c r="J121" s="1003">
        <v>14807971364</v>
      </c>
      <c r="K121" s="606"/>
      <c r="L121" s="606"/>
      <c r="M121" s="606"/>
      <c r="O121" s="957">
        <v>28445975851.511768</v>
      </c>
      <c r="P121" s="916">
        <v>14807971364</v>
      </c>
      <c r="Q121" s="917">
        <v>14807971364</v>
      </c>
      <c r="R121" s="606"/>
      <c r="S121" s="606"/>
      <c r="T121" s="606"/>
    </row>
    <row r="122" spans="2:22" hidden="1" outlineLevel="1">
      <c r="B122" s="692" t="s">
        <v>13</v>
      </c>
      <c r="C122" s="724" t="s">
        <v>21</v>
      </c>
      <c r="D122" s="725" t="s">
        <v>277</v>
      </c>
      <c r="E122" s="724" t="s">
        <v>22</v>
      </c>
      <c r="F122" s="693"/>
      <c r="H122" s="739">
        <v>10071000000</v>
      </c>
      <c r="I122" s="740">
        <v>0</v>
      </c>
      <c r="J122" s="1004">
        <v>0</v>
      </c>
      <c r="K122" s="606"/>
      <c r="L122" s="606"/>
      <c r="M122" s="606"/>
      <c r="N122" s="728"/>
      <c r="O122" s="958">
        <v>10071000000</v>
      </c>
      <c r="P122" s="906">
        <v>0</v>
      </c>
      <c r="Q122" s="918">
        <v>0</v>
      </c>
      <c r="R122" s="606"/>
      <c r="S122" s="606"/>
      <c r="T122" s="606"/>
    </row>
    <row r="123" spans="2:22" hidden="1" outlineLevel="1">
      <c r="B123" s="694" t="s">
        <v>13</v>
      </c>
      <c r="C123" s="733" t="s">
        <v>30</v>
      </c>
      <c r="D123" s="730" t="s">
        <v>277</v>
      </c>
      <c r="E123" s="729" t="s">
        <v>20</v>
      </c>
      <c r="F123" s="674"/>
      <c r="H123" s="741">
        <v>37122472878.033897</v>
      </c>
      <c r="I123" s="604">
        <v>16785000000</v>
      </c>
      <c r="J123" s="1005">
        <v>16785000000</v>
      </c>
      <c r="K123" s="606"/>
      <c r="L123" s="606"/>
      <c r="M123" s="606"/>
      <c r="O123" s="959">
        <v>37122472878.033897</v>
      </c>
      <c r="P123" s="908">
        <v>16785000000</v>
      </c>
      <c r="Q123" s="919">
        <v>16785000000</v>
      </c>
      <c r="R123" s="606"/>
      <c r="S123" s="606"/>
      <c r="T123" s="606"/>
    </row>
    <row r="124" spans="2:22" hidden="1" outlineLevel="1">
      <c r="B124" s="694" t="s">
        <v>13</v>
      </c>
      <c r="C124" s="733" t="s">
        <v>30</v>
      </c>
      <c r="D124" s="730" t="s">
        <v>277</v>
      </c>
      <c r="E124" s="729" t="s">
        <v>278</v>
      </c>
      <c r="F124" s="674"/>
      <c r="H124" s="741">
        <v>7935141704</v>
      </c>
      <c r="I124" s="604">
        <v>7935142000</v>
      </c>
      <c r="J124" s="1005">
        <v>7935142000</v>
      </c>
      <c r="K124" s="606"/>
      <c r="L124" s="606"/>
      <c r="M124" s="606"/>
      <c r="O124" s="959">
        <v>7935141704</v>
      </c>
      <c r="P124" s="908">
        <v>7935142000</v>
      </c>
      <c r="Q124" s="919">
        <v>7935142000</v>
      </c>
      <c r="R124" s="606"/>
      <c r="S124" s="606"/>
      <c r="T124" s="606"/>
    </row>
    <row r="125" spans="2:22" ht="15.75" hidden="1" outlineLevel="1" thickBot="1">
      <c r="B125" s="701" t="s">
        <v>13</v>
      </c>
      <c r="C125" s="742" t="s">
        <v>21</v>
      </c>
      <c r="D125" s="743" t="s">
        <v>277</v>
      </c>
      <c r="E125" s="742" t="s">
        <v>20</v>
      </c>
      <c r="F125" s="609"/>
      <c r="H125" s="744">
        <v>56898421143.605705</v>
      </c>
      <c r="I125" s="745">
        <v>10071000000</v>
      </c>
      <c r="J125" s="1006">
        <v>10071000000</v>
      </c>
      <c r="K125" s="606"/>
      <c r="L125" s="606"/>
      <c r="M125" s="606"/>
      <c r="O125" s="960">
        <v>56898421143.605705</v>
      </c>
      <c r="P125" s="910">
        <v>10071000000</v>
      </c>
      <c r="Q125" s="920">
        <v>10071000000</v>
      </c>
      <c r="R125" s="606"/>
      <c r="S125" s="606"/>
      <c r="T125" s="606"/>
    </row>
    <row r="126" spans="2:22" hidden="1" outlineLevel="1"/>
    <row r="127" spans="2:22" ht="15.75" hidden="1" outlineLevel="1" thickBot="1"/>
    <row r="128" spans="2:22" ht="24.75" hidden="1" customHeight="1" outlineLevel="1" thickBot="1">
      <c r="B128" s="851" t="s">
        <v>377</v>
      </c>
      <c r="C128" s="852"/>
      <c r="D128" s="852"/>
      <c r="E128" s="852"/>
      <c r="F128" s="852"/>
      <c r="G128" s="852"/>
      <c r="H128" s="852"/>
      <c r="I128" s="852"/>
      <c r="J128" s="852"/>
      <c r="K128" s="852"/>
      <c r="L128" s="852"/>
      <c r="M128" s="852"/>
      <c r="N128" s="852"/>
      <c r="O128" s="852"/>
      <c r="P128" s="852"/>
      <c r="Q128" s="852"/>
      <c r="R128" s="852"/>
      <c r="S128" s="852"/>
      <c r="T128" s="852"/>
      <c r="U128" s="852"/>
      <c r="V128" s="864"/>
    </row>
    <row r="129" spans="2:23" ht="15.75" hidden="1" outlineLevel="1" thickBot="1"/>
    <row r="130" spans="2:23" ht="21" hidden="1" customHeight="1" outlineLevel="1" thickBot="1">
      <c r="B130" s="542" t="s">
        <v>370</v>
      </c>
      <c r="C130" s="543"/>
      <c r="D130" s="544"/>
      <c r="E130" s="544"/>
      <c r="F130" s="861" t="s">
        <v>111</v>
      </c>
      <c r="H130" s="532" t="str">
        <f>H5</f>
        <v>Base-Case (consultation)*</v>
      </c>
      <c r="I130" s="857"/>
      <c r="J130" s="858"/>
      <c r="K130" s="864"/>
      <c r="O130" s="533" t="str">
        <f>O5</f>
        <v>Parameter-Variation (cost &amp; capacity)</v>
      </c>
      <c r="P130" s="859"/>
      <c r="Q130" s="860"/>
    </row>
    <row r="131" spans="2:23" ht="15.75" hidden="1" outlineLevel="1" thickBot="1">
      <c r="B131" s="142"/>
      <c r="C131" s="597"/>
      <c r="D131" s="598"/>
      <c r="E131" s="598"/>
      <c r="F131" s="598"/>
      <c r="H131" s="746">
        <f>rpm_start_year</f>
        <v>2025</v>
      </c>
      <c r="I131" s="747">
        <f>H131+1</f>
        <v>2026</v>
      </c>
      <c r="J131" s="992">
        <f>I131+1</f>
        <v>2027</v>
      </c>
      <c r="K131" s="551"/>
      <c r="L131" s="551"/>
      <c r="M131" s="551"/>
      <c r="O131" s="749">
        <f>rpm_start_year</f>
        <v>2025</v>
      </c>
      <c r="P131" s="750">
        <f>O131+1</f>
        <v>2026</v>
      </c>
      <c r="Q131" s="751">
        <f>P131+1</f>
        <v>2027</v>
      </c>
      <c r="R131" s="598"/>
      <c r="S131" s="598"/>
      <c r="T131" s="598"/>
    </row>
    <row r="132" spans="2:23" ht="15.75" hidden="1" outlineLevel="1" thickBot="1">
      <c r="B132" s="142"/>
      <c r="C132" s="597"/>
      <c r="D132" s="598"/>
      <c r="E132" s="598"/>
      <c r="F132" s="752" t="s">
        <v>57</v>
      </c>
      <c r="G132" s="753"/>
      <c r="H132" s="754" t="s">
        <v>57</v>
      </c>
      <c r="I132" s="755" t="s">
        <v>57</v>
      </c>
      <c r="J132" s="756" t="s">
        <v>57</v>
      </c>
      <c r="K132" s="551"/>
      <c r="L132" s="551"/>
      <c r="M132" s="551"/>
      <c r="O132" s="757" t="s">
        <v>57</v>
      </c>
      <c r="P132" s="758" t="s">
        <v>57</v>
      </c>
      <c r="Q132" s="759" t="s">
        <v>57</v>
      </c>
      <c r="R132" s="598"/>
      <c r="S132" s="598"/>
      <c r="T132" s="598"/>
    </row>
    <row r="133" spans="2:23" hidden="1" outlineLevel="1">
      <c r="B133" s="142"/>
      <c r="C133" s="142"/>
      <c r="E133" s="760" t="s">
        <v>232</v>
      </c>
      <c r="F133" s="761">
        <v>0.84700000000000009</v>
      </c>
      <c r="G133" s="753"/>
      <c r="H133" s="762">
        <v>1.372598089052816</v>
      </c>
      <c r="I133" s="763">
        <v>2.7736328397447485</v>
      </c>
      <c r="J133" s="993">
        <v>2.7555613024467158</v>
      </c>
      <c r="K133" s="869">
        <f t="shared" ref="K133:K151" ca="1" si="30">+H133-O133</f>
        <v>0</v>
      </c>
      <c r="L133" s="870">
        <f t="shared" ref="L133:L151" ca="1" si="31">+I133-P133</f>
        <v>0</v>
      </c>
      <c r="M133" s="870">
        <f t="shared" ref="M133:M151" ca="1" si="32">+J133-Q133</f>
        <v>-1.807153729803268E-2</v>
      </c>
      <c r="O133" s="764">
        <f t="shared" ref="O133:Q151" ca="1" si="33">INDIRECT(ADDRESS(ROW(INDIRECT(""&amp;$R133)),COLUMN(INDIRECT(""&amp;$R133)),1,,O$8))</f>
        <v>1.372598089052816</v>
      </c>
      <c r="P133" s="765">
        <f t="shared" ca="1" si="33"/>
        <v>2.7736328397447485</v>
      </c>
      <c r="Q133" s="766">
        <f t="shared" ca="1" si="33"/>
        <v>2.7736328397447485</v>
      </c>
      <c r="R133" s="143" t="s">
        <v>184</v>
      </c>
      <c r="S133" s="767"/>
      <c r="T133" s="767"/>
      <c r="W133" s="870"/>
    </row>
    <row r="134" spans="2:23" hidden="1" outlineLevel="1">
      <c r="B134" s="142"/>
      <c r="C134" s="142"/>
      <c r="E134" s="768" t="s">
        <v>233</v>
      </c>
      <c r="F134" s="769">
        <v>1.2320000000000002</v>
      </c>
      <c r="G134" s="753"/>
      <c r="H134" s="770">
        <v>2.1480106281567006</v>
      </c>
      <c r="I134" s="771">
        <v>3.7360454146105768</v>
      </c>
      <c r="J134" s="994">
        <v>3.7117033015919363</v>
      </c>
      <c r="K134" s="869">
        <f t="shared" ca="1" si="30"/>
        <v>0</v>
      </c>
      <c r="L134" s="870">
        <f t="shared" ca="1" si="31"/>
        <v>0</v>
      </c>
      <c r="M134" s="870">
        <f t="shared" ca="1" si="32"/>
        <v>-2.4342113018640532E-2</v>
      </c>
      <c r="O134" s="772">
        <f t="shared" ca="1" si="33"/>
        <v>2.1480106281567006</v>
      </c>
      <c r="P134" s="773">
        <f t="shared" ca="1" si="33"/>
        <v>3.7360454146105768</v>
      </c>
      <c r="Q134" s="774">
        <f t="shared" ca="1" si="33"/>
        <v>3.7360454146105768</v>
      </c>
      <c r="R134" s="143" t="s">
        <v>185</v>
      </c>
      <c r="S134" s="767"/>
      <c r="T134" s="767"/>
      <c r="W134" s="870"/>
    </row>
    <row r="135" spans="2:23" hidden="1" outlineLevel="1">
      <c r="B135" s="142"/>
      <c r="C135" s="142"/>
      <c r="E135" s="775" t="s">
        <v>234</v>
      </c>
      <c r="F135" s="776">
        <v>0.97</v>
      </c>
      <c r="G135" s="753"/>
      <c r="H135" s="777">
        <v>1.372598089052816</v>
      </c>
      <c r="I135" s="778">
        <v>2.7736328397447485</v>
      </c>
      <c r="J135" s="995">
        <v>2.7555613024467158</v>
      </c>
      <c r="K135" s="869">
        <f t="shared" ca="1" si="30"/>
        <v>0</v>
      </c>
      <c r="L135" s="870">
        <f t="shared" ca="1" si="31"/>
        <v>0</v>
      </c>
      <c r="M135" s="870">
        <f t="shared" ca="1" si="32"/>
        <v>-1.807153729803268E-2</v>
      </c>
      <c r="O135" s="779">
        <f t="shared" ca="1" si="33"/>
        <v>1.372598089052816</v>
      </c>
      <c r="P135" s="780">
        <f t="shared" ca="1" si="33"/>
        <v>2.7736328397447485</v>
      </c>
      <c r="Q135" s="781">
        <f t="shared" ca="1" si="33"/>
        <v>2.7736328397447485</v>
      </c>
      <c r="R135" s="143" t="s">
        <v>186</v>
      </c>
      <c r="S135" s="767"/>
      <c r="T135" s="767"/>
      <c r="W135" s="870"/>
    </row>
    <row r="136" spans="2:23" hidden="1" outlineLevel="1">
      <c r="B136" s="142"/>
      <c r="C136" s="142"/>
      <c r="E136" s="768" t="s">
        <v>235</v>
      </c>
      <c r="F136" s="769">
        <v>3.26</v>
      </c>
      <c r="G136" s="753"/>
      <c r="H136" s="770">
        <v>4.3074672467522168</v>
      </c>
      <c r="I136" s="771">
        <v>7.5586618182948762</v>
      </c>
      <c r="J136" s="994">
        <v>7.5094135410841467</v>
      </c>
      <c r="K136" s="869">
        <f t="shared" ca="1" si="30"/>
        <v>0</v>
      </c>
      <c r="L136" s="870">
        <f t="shared" ca="1" si="31"/>
        <v>0</v>
      </c>
      <c r="M136" s="870">
        <f t="shared" ca="1" si="32"/>
        <v>-4.9248277210729441E-2</v>
      </c>
      <c r="O136" s="772">
        <f t="shared" ca="1" si="33"/>
        <v>4.3074672467522168</v>
      </c>
      <c r="P136" s="773">
        <f t="shared" ca="1" si="33"/>
        <v>7.5586618182948762</v>
      </c>
      <c r="Q136" s="774">
        <f t="shared" ca="1" si="33"/>
        <v>7.5586618182948762</v>
      </c>
      <c r="R136" s="143" t="s">
        <v>188</v>
      </c>
      <c r="S136" s="767"/>
      <c r="T136" s="767"/>
      <c r="W136" s="870"/>
    </row>
    <row r="137" spans="2:23" hidden="1" outlineLevel="1">
      <c r="B137" s="142"/>
      <c r="C137" s="142"/>
      <c r="E137" s="775" t="s">
        <v>236</v>
      </c>
      <c r="F137" s="776">
        <v>0.97</v>
      </c>
      <c r="G137" s="753"/>
      <c r="H137" s="777">
        <v>1.372598089052816</v>
      </c>
      <c r="I137" s="778">
        <v>2.7736328397447485</v>
      </c>
      <c r="J137" s="995">
        <v>2.7555613024467158</v>
      </c>
      <c r="K137" s="869">
        <f t="shared" ca="1" si="30"/>
        <v>0</v>
      </c>
      <c r="L137" s="870">
        <f t="shared" ca="1" si="31"/>
        <v>0</v>
      </c>
      <c r="M137" s="870">
        <f t="shared" ca="1" si="32"/>
        <v>-1.807153729803268E-2</v>
      </c>
      <c r="O137" s="779">
        <f t="shared" ca="1" si="33"/>
        <v>1.372598089052816</v>
      </c>
      <c r="P137" s="780">
        <f t="shared" ca="1" si="33"/>
        <v>2.7736328397447485</v>
      </c>
      <c r="Q137" s="781">
        <f t="shared" ca="1" si="33"/>
        <v>2.7736328397447485</v>
      </c>
      <c r="R137" s="143" t="s">
        <v>187</v>
      </c>
      <c r="S137" s="767"/>
      <c r="T137" s="767"/>
      <c r="W137" s="870"/>
    </row>
    <row r="138" spans="2:23" hidden="1" outlineLevel="1">
      <c r="B138" s="142"/>
      <c r="C138" s="142"/>
      <c r="E138" s="782" t="s">
        <v>237</v>
      </c>
      <c r="F138" s="783">
        <v>0.88</v>
      </c>
      <c r="G138" s="753"/>
      <c r="H138" s="784">
        <v>1.2353382801475343</v>
      </c>
      <c r="I138" s="785">
        <v>2.4962695557702737</v>
      </c>
      <c r="J138" s="996">
        <v>2.4800051722020444</v>
      </c>
      <c r="K138" s="869">
        <f t="shared" ca="1" si="30"/>
        <v>0</v>
      </c>
      <c r="L138" s="870">
        <f t="shared" ca="1" si="31"/>
        <v>0</v>
      </c>
      <c r="M138" s="870">
        <f t="shared" ca="1" si="32"/>
        <v>-1.6264383568229235E-2</v>
      </c>
      <c r="O138" s="786">
        <f t="shared" ca="1" si="33"/>
        <v>1.2353382801475343</v>
      </c>
      <c r="P138" s="787">
        <f t="shared" ca="1" si="33"/>
        <v>2.4962695557702737</v>
      </c>
      <c r="Q138" s="788">
        <f t="shared" ca="1" si="33"/>
        <v>2.4962695557702737</v>
      </c>
      <c r="R138" s="143" t="s">
        <v>190</v>
      </c>
      <c r="S138" s="767"/>
      <c r="T138" s="767"/>
      <c r="W138" s="870"/>
    </row>
    <row r="139" spans="2:23" hidden="1" outlineLevel="1">
      <c r="B139" s="142"/>
      <c r="C139" s="142"/>
      <c r="E139" s="782" t="s">
        <v>238</v>
      </c>
      <c r="F139" s="783">
        <v>3.26</v>
      </c>
      <c r="G139" s="753"/>
      <c r="H139" s="784">
        <v>4.3074672467522168</v>
      </c>
      <c r="I139" s="785">
        <v>7.5586618182948762</v>
      </c>
      <c r="J139" s="996">
        <v>7.5094135410841467</v>
      </c>
      <c r="K139" s="869">
        <f t="shared" ca="1" si="30"/>
        <v>0</v>
      </c>
      <c r="L139" s="870">
        <f t="shared" ca="1" si="31"/>
        <v>0</v>
      </c>
      <c r="M139" s="870">
        <f t="shared" ca="1" si="32"/>
        <v>-4.9248277210729441E-2</v>
      </c>
      <c r="O139" s="786">
        <f t="shared" ca="1" si="33"/>
        <v>4.3074672467522168</v>
      </c>
      <c r="P139" s="787">
        <f t="shared" ca="1" si="33"/>
        <v>7.5586618182948762</v>
      </c>
      <c r="Q139" s="788">
        <f t="shared" ca="1" si="33"/>
        <v>7.5586618182948762</v>
      </c>
      <c r="R139" s="143" t="s">
        <v>189</v>
      </c>
      <c r="S139" s="767"/>
      <c r="T139" s="767"/>
      <c r="W139" s="870"/>
    </row>
    <row r="140" spans="2:23" hidden="1" outlineLevel="1">
      <c r="B140" s="142"/>
      <c r="C140" s="142"/>
      <c r="E140" s="768" t="s">
        <v>239</v>
      </c>
      <c r="F140" s="769">
        <v>2.93</v>
      </c>
      <c r="G140" s="753"/>
      <c r="H140" s="770">
        <v>3.8767205220769951</v>
      </c>
      <c r="I140" s="771">
        <v>6.8027956364653885</v>
      </c>
      <c r="J140" s="994">
        <v>6.758472186975732</v>
      </c>
      <c r="K140" s="869">
        <f t="shared" ca="1" si="30"/>
        <v>0</v>
      </c>
      <c r="L140" s="870">
        <f t="shared" ca="1" si="31"/>
        <v>0</v>
      </c>
      <c r="M140" s="870">
        <f t="shared" ca="1" si="32"/>
        <v>-4.4323449489656497E-2</v>
      </c>
      <c r="O140" s="772">
        <f t="shared" ca="1" si="33"/>
        <v>3.8767205220769951</v>
      </c>
      <c r="P140" s="773">
        <f t="shared" ca="1" si="33"/>
        <v>6.8027956364653885</v>
      </c>
      <c r="Q140" s="774">
        <f t="shared" ca="1" si="33"/>
        <v>6.8027956364653885</v>
      </c>
      <c r="R140" s="143" t="s">
        <v>191</v>
      </c>
      <c r="S140" s="767"/>
      <c r="T140" s="767"/>
      <c r="W140" s="870"/>
    </row>
    <row r="141" spans="2:23" hidden="1" outlineLevel="1">
      <c r="B141" s="142"/>
      <c r="C141" s="142"/>
      <c r="E141" s="775" t="s">
        <v>240</v>
      </c>
      <c r="F141" s="776">
        <v>0.97267283143619288</v>
      </c>
      <c r="G141" s="753"/>
      <c r="H141" s="777">
        <v>1.372598089052816</v>
      </c>
      <c r="I141" s="778">
        <v>2.7736328397447485</v>
      </c>
      <c r="J141" s="995">
        <v>2.7555613024467158</v>
      </c>
      <c r="K141" s="869">
        <f t="shared" ca="1" si="30"/>
        <v>0</v>
      </c>
      <c r="L141" s="870">
        <f t="shared" ca="1" si="31"/>
        <v>0</v>
      </c>
      <c r="M141" s="870">
        <f t="shared" ca="1" si="32"/>
        <v>-1.807153729803268E-2</v>
      </c>
      <c r="O141" s="779">
        <f t="shared" ca="1" si="33"/>
        <v>1.372598089052816</v>
      </c>
      <c r="P141" s="780">
        <f t="shared" ca="1" si="33"/>
        <v>2.7736328397447485</v>
      </c>
      <c r="Q141" s="781">
        <f t="shared" ca="1" si="33"/>
        <v>2.7736328397447485</v>
      </c>
      <c r="R141" s="143" t="s">
        <v>192</v>
      </c>
      <c r="S141" s="767"/>
      <c r="T141" s="767"/>
      <c r="W141" s="870"/>
    </row>
    <row r="142" spans="2:23" hidden="1" outlineLevel="1">
      <c r="B142" s="142"/>
      <c r="C142" s="142"/>
      <c r="E142" s="782" t="s">
        <v>241</v>
      </c>
      <c r="F142" s="783">
        <v>0.68</v>
      </c>
      <c r="G142" s="753"/>
      <c r="H142" s="784">
        <v>1.2353382801475343</v>
      </c>
      <c r="I142" s="785">
        <v>2.4962695557702737</v>
      </c>
      <c r="J142" s="996">
        <v>2.4800051722020444</v>
      </c>
      <c r="K142" s="869">
        <f t="shared" ca="1" si="30"/>
        <v>0</v>
      </c>
      <c r="L142" s="870">
        <f t="shared" ca="1" si="31"/>
        <v>0</v>
      </c>
      <c r="M142" s="870">
        <f t="shared" ca="1" si="32"/>
        <v>-1.6264383568229235E-2</v>
      </c>
      <c r="O142" s="786">
        <f t="shared" ca="1" si="33"/>
        <v>1.2353382801475343</v>
      </c>
      <c r="P142" s="787">
        <f t="shared" ca="1" si="33"/>
        <v>2.4962695557702737</v>
      </c>
      <c r="Q142" s="788">
        <f t="shared" ca="1" si="33"/>
        <v>2.4962695557702737</v>
      </c>
      <c r="R142" s="143" t="s">
        <v>194</v>
      </c>
      <c r="S142" s="767"/>
      <c r="T142" s="767"/>
      <c r="W142" s="870"/>
    </row>
    <row r="143" spans="2:23" hidden="1" outlineLevel="1">
      <c r="B143" s="142"/>
      <c r="C143" s="142"/>
      <c r="E143" s="768" t="s">
        <v>242</v>
      </c>
      <c r="F143" s="769">
        <v>4.3451722281982699</v>
      </c>
      <c r="G143" s="753"/>
      <c r="H143" s="770">
        <v>5.9796699217300029</v>
      </c>
      <c r="I143" s="771">
        <v>10.520923454391017</v>
      </c>
      <c r="J143" s="994">
        <v>10.45237463354807</v>
      </c>
      <c r="K143" s="869">
        <f t="shared" ca="1" si="30"/>
        <v>0</v>
      </c>
      <c r="L143" s="870">
        <f t="shared" ca="1" si="31"/>
        <v>0</v>
      </c>
      <c r="M143" s="870">
        <f t="shared" ca="1" si="32"/>
        <v>-6.8548820842947222E-2</v>
      </c>
      <c r="O143" s="772">
        <f t="shared" ca="1" si="33"/>
        <v>5.9796699217300029</v>
      </c>
      <c r="P143" s="773">
        <f t="shared" ca="1" si="33"/>
        <v>10.520923454391017</v>
      </c>
      <c r="Q143" s="774">
        <f t="shared" ca="1" si="33"/>
        <v>10.520923454391017</v>
      </c>
      <c r="R143" s="143" t="s">
        <v>193</v>
      </c>
      <c r="S143" s="767"/>
      <c r="T143" s="767"/>
      <c r="W143" s="870"/>
    </row>
    <row r="144" spans="2:23" hidden="1" outlineLevel="1">
      <c r="B144" s="142"/>
      <c r="C144" s="142"/>
      <c r="E144" s="789" t="s">
        <v>243</v>
      </c>
      <c r="F144" s="790">
        <v>1.23</v>
      </c>
      <c r="G144" s="753"/>
      <c r="H144" s="791">
        <v>2.1434083293827535</v>
      </c>
      <c r="I144" s="792">
        <v>3.9674104358946902</v>
      </c>
      <c r="J144" s="997">
        <v>3.9415608697078865</v>
      </c>
      <c r="K144" s="869">
        <f t="shared" ca="1" si="30"/>
        <v>0</v>
      </c>
      <c r="L144" s="870">
        <f t="shared" ca="1" si="31"/>
        <v>0</v>
      </c>
      <c r="M144" s="870">
        <f t="shared" ca="1" si="32"/>
        <v>-2.5849566186803674E-2</v>
      </c>
      <c r="O144" s="793">
        <f t="shared" ca="1" si="33"/>
        <v>2.1434083293827535</v>
      </c>
      <c r="P144" s="794">
        <f t="shared" ca="1" si="33"/>
        <v>3.9674104358946902</v>
      </c>
      <c r="Q144" s="795">
        <f t="shared" ca="1" si="33"/>
        <v>3.9674104358946902</v>
      </c>
      <c r="R144" s="143" t="s">
        <v>195</v>
      </c>
      <c r="S144" s="767"/>
      <c r="T144" s="767"/>
      <c r="W144" s="870"/>
    </row>
    <row r="145" spans="2:23" hidden="1" outlineLevel="1">
      <c r="B145" s="142"/>
      <c r="C145" s="142"/>
      <c r="E145" s="796" t="s">
        <v>244</v>
      </c>
      <c r="F145" s="797">
        <v>1.9</v>
      </c>
      <c r="G145" s="753"/>
      <c r="H145" s="798">
        <v>3.7353308470594149</v>
      </c>
      <c r="I145" s="799">
        <v>6.5473368606946538</v>
      </c>
      <c r="J145" s="998">
        <v>6.5046778466444328</v>
      </c>
      <c r="K145" s="869">
        <f t="shared" ca="1" si="30"/>
        <v>0</v>
      </c>
      <c r="L145" s="870">
        <f t="shared" ca="1" si="31"/>
        <v>0</v>
      </c>
      <c r="M145" s="870">
        <f t="shared" ca="1" si="32"/>
        <v>-4.2659014050220989E-2</v>
      </c>
      <c r="O145" s="800">
        <f t="shared" ca="1" si="33"/>
        <v>3.7353308470594149</v>
      </c>
      <c r="P145" s="801">
        <f t="shared" ca="1" si="33"/>
        <v>6.5473368606946538</v>
      </c>
      <c r="Q145" s="802">
        <f t="shared" ca="1" si="33"/>
        <v>6.5473368606946538</v>
      </c>
      <c r="R145" s="143" t="s">
        <v>196</v>
      </c>
      <c r="S145" s="767"/>
      <c r="T145" s="767"/>
      <c r="W145" s="870"/>
    </row>
    <row r="146" spans="2:23" hidden="1" outlineLevel="1">
      <c r="B146" s="142"/>
      <c r="C146" s="142"/>
      <c r="E146" s="775" t="s">
        <v>245</v>
      </c>
      <c r="F146" s="776">
        <v>0.42</v>
      </c>
      <c r="G146" s="753"/>
      <c r="H146" s="777">
        <v>1.26</v>
      </c>
      <c r="I146" s="778">
        <v>2.0916000000000001</v>
      </c>
      <c r="J146" s="995">
        <v>2.133432</v>
      </c>
      <c r="K146" s="869">
        <f t="shared" ca="1" si="30"/>
        <v>0</v>
      </c>
      <c r="L146" s="870">
        <f t="shared" ca="1" si="31"/>
        <v>0</v>
      </c>
      <c r="M146" s="870">
        <f t="shared" ca="1" si="32"/>
        <v>4.1831999999999869E-2</v>
      </c>
      <c r="O146" s="779">
        <f t="shared" ca="1" si="33"/>
        <v>1.26</v>
      </c>
      <c r="P146" s="780">
        <f t="shared" ca="1" si="33"/>
        <v>2.0916000000000001</v>
      </c>
      <c r="Q146" s="781">
        <f t="shared" ca="1" si="33"/>
        <v>2.0916000000000001</v>
      </c>
      <c r="R146" s="143" t="s">
        <v>197</v>
      </c>
      <c r="S146" s="767"/>
      <c r="T146" s="767"/>
      <c r="W146" s="870"/>
    </row>
    <row r="147" spans="2:23" hidden="1" outlineLevel="1">
      <c r="B147" s="142"/>
      <c r="C147" s="142"/>
      <c r="E147" s="782" t="s">
        <v>246</v>
      </c>
      <c r="F147" s="783">
        <v>0.38</v>
      </c>
      <c r="G147" s="753"/>
      <c r="H147" s="784">
        <v>1.1340000000000001</v>
      </c>
      <c r="I147" s="785">
        <v>1.8824400000000001</v>
      </c>
      <c r="J147" s="996">
        <v>1.9200888</v>
      </c>
      <c r="K147" s="869">
        <f t="shared" ca="1" si="30"/>
        <v>0</v>
      </c>
      <c r="L147" s="870">
        <f t="shared" ca="1" si="31"/>
        <v>0</v>
      </c>
      <c r="M147" s="870">
        <f t="shared" ca="1" si="32"/>
        <v>3.7648799999999927E-2</v>
      </c>
      <c r="O147" s="786">
        <f t="shared" ca="1" si="33"/>
        <v>1.1340000000000001</v>
      </c>
      <c r="P147" s="787">
        <f t="shared" ca="1" si="33"/>
        <v>1.8824400000000001</v>
      </c>
      <c r="Q147" s="788">
        <f t="shared" ca="1" si="33"/>
        <v>1.8824400000000001</v>
      </c>
      <c r="R147" s="143" t="s">
        <v>198</v>
      </c>
      <c r="S147" s="767"/>
      <c r="T147" s="767"/>
      <c r="W147" s="870"/>
    </row>
    <row r="148" spans="2:23" hidden="1" outlineLevel="1">
      <c r="B148" s="142"/>
      <c r="C148" s="142"/>
      <c r="E148" s="768" t="s">
        <v>247</v>
      </c>
      <c r="F148" s="769">
        <v>3.85</v>
      </c>
      <c r="G148" s="753"/>
      <c r="H148" s="770">
        <v>4.626999160188296</v>
      </c>
      <c r="I148" s="771">
        <v>7.680818605912572</v>
      </c>
      <c r="J148" s="994">
        <v>7.8344349780308233</v>
      </c>
      <c r="K148" s="869">
        <f t="shared" ca="1" si="30"/>
        <v>0</v>
      </c>
      <c r="L148" s="870">
        <f t="shared" ca="1" si="31"/>
        <v>0</v>
      </c>
      <c r="M148" s="870">
        <f t="shared" ca="1" si="32"/>
        <v>0.1536163721182513</v>
      </c>
      <c r="O148" s="772">
        <f t="shared" ca="1" si="33"/>
        <v>4.626999160188296</v>
      </c>
      <c r="P148" s="773">
        <f t="shared" ca="1" si="33"/>
        <v>7.680818605912572</v>
      </c>
      <c r="Q148" s="774">
        <f t="shared" ca="1" si="33"/>
        <v>7.680818605912572</v>
      </c>
      <c r="R148" s="143" t="s">
        <v>199</v>
      </c>
      <c r="S148" s="767"/>
      <c r="T148" s="767"/>
      <c r="W148" s="870"/>
    </row>
    <row r="149" spans="2:23" hidden="1" outlineLevel="1">
      <c r="B149" s="142"/>
      <c r="C149" s="142"/>
      <c r="E149" s="775" t="s">
        <v>248</v>
      </c>
      <c r="F149" s="776">
        <v>0.44</v>
      </c>
      <c r="G149" s="753"/>
      <c r="H149" s="777">
        <v>2.1537336233761084</v>
      </c>
      <c r="I149" s="778">
        <v>3.7793309091474381</v>
      </c>
      <c r="J149" s="995">
        <v>3.7547067705420734</v>
      </c>
      <c r="K149" s="869">
        <f t="shared" ca="1" si="30"/>
        <v>0</v>
      </c>
      <c r="L149" s="870">
        <f t="shared" ca="1" si="31"/>
        <v>0</v>
      </c>
      <c r="M149" s="870">
        <f t="shared" ca="1" si="32"/>
        <v>-2.462413860536472E-2</v>
      </c>
      <c r="O149" s="779">
        <f t="shared" ca="1" si="33"/>
        <v>2.1537336233761084</v>
      </c>
      <c r="P149" s="780">
        <f t="shared" ca="1" si="33"/>
        <v>3.7793309091474381</v>
      </c>
      <c r="Q149" s="781">
        <f t="shared" ca="1" si="33"/>
        <v>3.7793309091474381</v>
      </c>
      <c r="R149" s="143" t="s">
        <v>200</v>
      </c>
      <c r="S149" s="767"/>
      <c r="T149" s="767"/>
      <c r="W149" s="870"/>
    </row>
    <row r="150" spans="2:23" hidden="1" outlineLevel="1">
      <c r="B150" s="142"/>
      <c r="C150" s="142"/>
      <c r="E150" s="768" t="s">
        <v>249</v>
      </c>
      <c r="F150" s="769">
        <v>0.44</v>
      </c>
      <c r="G150" s="753"/>
      <c r="H150" s="770">
        <v>1.0740053140783503</v>
      </c>
      <c r="I150" s="771">
        <v>1.8680227073052884</v>
      </c>
      <c r="J150" s="994">
        <v>1.8558516507959681</v>
      </c>
      <c r="K150" s="869">
        <f t="shared" ca="1" si="30"/>
        <v>0</v>
      </c>
      <c r="L150" s="870">
        <f t="shared" ca="1" si="31"/>
        <v>0</v>
      </c>
      <c r="M150" s="870">
        <f t="shared" ca="1" si="32"/>
        <v>-1.2171056509320266E-2</v>
      </c>
      <c r="O150" s="772">
        <f t="shared" ca="1" si="33"/>
        <v>1.0740053140783503</v>
      </c>
      <c r="P150" s="773">
        <f t="shared" ca="1" si="33"/>
        <v>1.8680227073052884</v>
      </c>
      <c r="Q150" s="774">
        <f t="shared" ca="1" si="33"/>
        <v>1.8680227073052884</v>
      </c>
      <c r="R150" s="143" t="s">
        <v>203</v>
      </c>
      <c r="S150" s="767"/>
      <c r="T150" s="767"/>
      <c r="W150" s="870"/>
    </row>
    <row r="151" spans="2:23" ht="15.75" hidden="1" outlineLevel="1" thickBot="1">
      <c r="B151" s="142"/>
      <c r="C151" s="142"/>
      <c r="E151" s="803" t="s">
        <v>375</v>
      </c>
      <c r="F151" s="804" t="s">
        <v>37</v>
      </c>
      <c r="G151" s="753"/>
      <c r="H151" s="805">
        <v>0</v>
      </c>
      <c r="I151" s="806">
        <v>0</v>
      </c>
      <c r="J151" s="999">
        <v>0</v>
      </c>
      <c r="K151" s="869">
        <f t="shared" ca="1" si="30"/>
        <v>0</v>
      </c>
      <c r="L151" s="870">
        <f t="shared" ca="1" si="31"/>
        <v>0</v>
      </c>
      <c r="M151" s="870">
        <f t="shared" ca="1" si="32"/>
        <v>0</v>
      </c>
      <c r="O151" s="807">
        <f t="shared" ca="1" si="33"/>
        <v>0</v>
      </c>
      <c r="P151" s="808">
        <f t="shared" ca="1" si="33"/>
        <v>0</v>
      </c>
      <c r="Q151" s="809">
        <f t="shared" ca="1" si="33"/>
        <v>0</v>
      </c>
      <c r="R151" s="143" t="s">
        <v>292</v>
      </c>
      <c r="S151" s="767"/>
      <c r="T151" s="767"/>
      <c r="W151" s="870"/>
    </row>
    <row r="152" spans="2:23" hidden="1" outlineLevel="1">
      <c r="E152" s="867" t="s">
        <v>363</v>
      </c>
      <c r="G152" s="753"/>
    </row>
    <row r="153" spans="2:23" ht="15.75" hidden="1" outlineLevel="1" thickBot="1">
      <c r="G153" s="753"/>
    </row>
    <row r="154" spans="2:23" ht="6.75" customHeight="1" collapsed="1" thickBot="1">
      <c r="B154" s="546"/>
      <c r="C154" s="543"/>
      <c r="D154" s="543"/>
      <c r="E154" s="543"/>
      <c r="F154" s="543"/>
      <c r="G154" s="854"/>
      <c r="H154" s="543"/>
      <c r="I154" s="543"/>
      <c r="J154" s="543"/>
      <c r="K154" s="543"/>
      <c r="L154" s="543"/>
      <c r="M154" s="543"/>
      <c r="N154" s="543"/>
      <c r="O154" s="543"/>
      <c r="P154" s="543"/>
      <c r="Q154" s="545"/>
      <c r="R154" s="543"/>
      <c r="S154" s="543"/>
      <c r="T154" s="543"/>
      <c r="U154" s="543"/>
      <c r="V154" s="864"/>
    </row>
  </sheetData>
  <mergeCells count="3">
    <mergeCell ref="W7:X7"/>
    <mergeCell ref="H5:J6"/>
    <mergeCell ref="O5:Q6"/>
  </mergeCells>
  <phoneticPr fontId="48" type="noConversion"/>
  <conditionalFormatting sqref="H33:J33">
    <cfRule type="cellIs" dxfId="111" priority="21" operator="equal">
      <formula>FALSE</formula>
    </cfRule>
  </conditionalFormatting>
  <conditionalFormatting sqref="O33:Q33">
    <cfRule type="cellIs" dxfId="110" priority="25" operator="equal">
      <formula>FALSE</formula>
    </cfRule>
  </conditionalFormatting>
  <conditionalFormatting sqref="O39:Q39">
    <cfRule type="cellIs" dxfId="109" priority="22" operator="greaterThan">
      <formula>0.1</formula>
    </cfRule>
    <cfRule type="cellIs" dxfId="108" priority="23" operator="greaterThan">
      <formula>0.05</formula>
    </cfRule>
  </conditionalFormatting>
  <conditionalFormatting sqref="AM8:AM15 AM31:AM40 AK8:AK15 AK31:AK40">
    <cfRule type="dataBar" priority="54">
      <dataBar>
        <cfvo type="min"/>
        <cfvo type="max"/>
        <color theme="3" tint="0.59999389629810485"/>
      </dataBar>
      <extLst>
        <ext xmlns:x14="http://schemas.microsoft.com/office/spreadsheetml/2009/9/main" uri="{B025F937-C7B1-47D3-B67F-A62EFF666E3E}">
          <x14:id>{359033AE-B514-485C-82A1-F16FBFB74D68}</x14:id>
        </ext>
      </extLst>
    </cfRule>
  </conditionalFormatting>
  <dataValidations count="1">
    <dataValidation type="list" allowBlank="1" showInputMessage="1" showErrorMessage="1" sqref="F35" xr:uid="{93EA082E-A427-430E-9D9D-F82D2282D0ED}">
      <formula1>$W$5:$W$6</formula1>
    </dataValidation>
  </dataValidations>
  <pageMargins left="0.7" right="0.7" top="0.78740157499999996" bottom="0.78740157499999996" header="0.3" footer="0.3"/>
  <ignoredErrors>
    <ignoredError sqref="O24:Q24" formulaRange="1"/>
    <ignoredError sqref="Q19:Q20" unlockedFormula="1"/>
  </ignoredErrors>
  <drawing r:id="rId1"/>
  <extLst>
    <ext xmlns:x14="http://schemas.microsoft.com/office/spreadsheetml/2009/9/main" uri="{78C0D931-6437-407d-A8EE-F0AAD7539E65}">
      <x14:conditionalFormattings>
        <x14:conditionalFormatting xmlns:xm="http://schemas.microsoft.com/office/excel/2006/main">
          <x14:cfRule type="dataBar" id="{359033AE-B514-485C-82A1-F16FBFB74D68}">
            <x14:dataBar minLength="0" maxLength="100" gradient="0" axisPosition="middle">
              <x14:cfvo type="autoMin"/>
              <x14:cfvo type="autoMax"/>
              <x14:negativeFillColor theme="5" tint="0.59999389629810485"/>
              <x14:axisColor rgb="FF000000"/>
            </x14:dataBar>
          </x14:cfRule>
          <xm:sqref>AM8:AM15 AM31:AM40 AK8:AK15 AK31:AK40</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5466D0-E286-4A71-8922-9B24B1BFDFF8}">
  <sheetPr>
    <tabColor rgb="FF00B0F0"/>
    <outlinePr summaryBelow="0" summaryRight="0"/>
  </sheetPr>
  <dimension ref="A1:BX282"/>
  <sheetViews>
    <sheetView showGridLines="0" zoomScale="85" zoomScaleNormal="85" workbookViewId="0">
      <selection activeCell="O55" sqref="O55:O100"/>
    </sheetView>
  </sheetViews>
  <sheetFormatPr baseColWidth="10" defaultColWidth="11.42578125" defaultRowHeight="15" outlineLevelRow="1"/>
  <cols>
    <col min="1" max="1" width="6.5703125" customWidth="1"/>
    <col min="2" max="2" width="37.140625" customWidth="1"/>
    <col min="3" max="3" width="15.42578125" customWidth="1"/>
    <col min="4" max="4" width="13.5703125" customWidth="1"/>
    <col min="5" max="5" width="18.5703125" customWidth="1"/>
    <col min="6" max="6" width="18.140625" customWidth="1"/>
    <col min="7" max="7" width="12.5703125" bestFit="1" customWidth="1"/>
    <col min="8" max="8" width="13.5703125" style="5" customWidth="1"/>
    <col min="9" max="9" width="13" style="5" customWidth="1"/>
    <col min="10" max="10" width="11.42578125" customWidth="1"/>
    <col min="11" max="20" width="13" customWidth="1"/>
    <col min="21" max="21" width="15.140625" bestFit="1" customWidth="1"/>
    <col min="22" max="22" width="16.140625" customWidth="1"/>
    <col min="23" max="28" width="13" customWidth="1"/>
    <col min="29" max="29" width="17" customWidth="1"/>
    <col min="30" max="30" width="15.85546875" bestFit="1" customWidth="1"/>
    <col min="31" max="31" width="14" bestFit="1" customWidth="1"/>
    <col min="32" max="32" width="11.5703125" customWidth="1"/>
    <col min="33" max="33" width="11.85546875" customWidth="1"/>
    <col min="34" max="34" width="15.85546875" bestFit="1" customWidth="1"/>
    <col min="36" max="36" width="15.42578125" customWidth="1"/>
    <col min="37" max="37" width="14" customWidth="1"/>
    <col min="38" max="38" width="22.5703125" customWidth="1"/>
    <col min="39" max="39" width="16.42578125" customWidth="1"/>
    <col min="40" max="40" width="3.140625" customWidth="1"/>
    <col min="42" max="42" width="18.5703125" customWidth="1"/>
    <col min="45" max="45" width="13" bestFit="1" customWidth="1"/>
    <col min="46" max="46" width="14.140625" bestFit="1" customWidth="1"/>
  </cols>
  <sheetData>
    <row r="1" spans="1:48" s="151" customFormat="1">
      <c r="A1" s="163" t="str">
        <f ca="1">RIGHT(CELL("dateiname",A2),LEN(CELL("dateiname",A2))-FIND("]",CELL("dateiname",A2)))</f>
        <v>CWD 2025_V1</v>
      </c>
      <c r="B1" s="164"/>
      <c r="C1" s="165" t="str">
        <f ca="1">IF(G40=TRUE,"OK","Infeasible")</f>
        <v>OK</v>
      </c>
      <c r="D1" s="164"/>
      <c r="E1" s="152"/>
      <c r="F1" s="161"/>
      <c r="G1" s="162"/>
      <c r="H1" s="162"/>
      <c r="I1" s="162"/>
      <c r="J1" s="152"/>
      <c r="K1" s="152"/>
      <c r="L1" s="153"/>
      <c r="M1" s="152"/>
      <c r="N1" s="152"/>
      <c r="O1" s="153"/>
      <c r="P1" s="152"/>
    </row>
    <row r="2" spans="1:48" ht="19.5" thickBot="1">
      <c r="A2" s="60" t="s">
        <v>131</v>
      </c>
      <c r="B2" s="60"/>
      <c r="C2" s="60"/>
      <c r="D2" s="60"/>
      <c r="E2" s="60"/>
      <c r="F2" s="60"/>
      <c r="G2" s="60"/>
      <c r="H2" s="60"/>
      <c r="I2" s="60"/>
      <c r="J2" s="60"/>
      <c r="K2" s="60" t="s">
        <v>132</v>
      </c>
      <c r="L2" s="60"/>
      <c r="M2" s="60"/>
      <c r="N2" s="60"/>
      <c r="O2" s="60"/>
      <c r="P2" s="60"/>
      <c r="Q2" s="60"/>
      <c r="R2" s="60"/>
      <c r="S2" s="60"/>
      <c r="T2" s="60"/>
      <c r="U2" s="60"/>
      <c r="V2" s="60"/>
      <c r="W2" s="60"/>
      <c r="X2" s="60"/>
      <c r="Y2" s="60"/>
      <c r="Z2" s="60"/>
      <c r="AA2" s="60"/>
      <c r="AB2" s="60"/>
      <c r="AC2" s="60"/>
      <c r="AD2" s="60"/>
      <c r="AE2" s="60"/>
      <c r="AF2" s="60"/>
      <c r="AG2" s="60"/>
      <c r="AH2" s="60"/>
      <c r="AI2" s="60"/>
      <c r="AJ2" s="60"/>
      <c r="AK2" s="60"/>
      <c r="AL2" s="60"/>
      <c r="AM2" s="60"/>
      <c r="AN2" s="60"/>
      <c r="AO2" s="60"/>
      <c r="AP2" s="60"/>
      <c r="AQ2" s="60"/>
      <c r="AR2" s="60"/>
      <c r="AS2" s="60"/>
      <c r="AT2" s="60"/>
      <c r="AU2" s="60"/>
      <c r="AV2" s="60"/>
    </row>
    <row r="3" spans="1:48">
      <c r="A3" s="154"/>
      <c r="K3" s="91" t="s">
        <v>0</v>
      </c>
      <c r="L3" s="92"/>
      <c r="M3" s="93"/>
      <c r="N3" s="94"/>
      <c r="O3" s="94"/>
      <c r="P3" s="95"/>
      <c r="Q3" s="150" t="s">
        <v>89</v>
      </c>
      <c r="R3" s="96">
        <f ca="1">costs_GCA_capa/1000</f>
        <v>99061.029620682893</v>
      </c>
      <c r="S3" s="97"/>
      <c r="T3" s="96"/>
      <c r="U3" s="93"/>
      <c r="V3" s="98"/>
      <c r="Y3" s="41"/>
      <c r="Z3" s="41"/>
      <c r="AA3" s="41"/>
      <c r="AQ3" s="132"/>
      <c r="AR3" s="41"/>
      <c r="AS3" s="41"/>
      <c r="AT3" s="41"/>
    </row>
    <row r="4" spans="1:48">
      <c r="B4" s="492" t="s">
        <v>281</v>
      </c>
      <c r="C4" s="487">
        <f ca="1">VALUE(MID(A1,5,4))</f>
        <v>2025</v>
      </c>
      <c r="E4" s="79"/>
      <c r="F4" s="79"/>
      <c r="G4" s="79"/>
      <c r="H4" s="443"/>
      <c r="I4" s="443"/>
      <c r="K4" s="104"/>
      <c r="L4" s="105"/>
      <c r="M4" s="106"/>
      <c r="N4" s="107" t="s">
        <v>60</v>
      </c>
      <c r="O4" s="107" t="s">
        <v>60</v>
      </c>
      <c r="P4" s="137"/>
      <c r="Q4" s="108" t="s">
        <v>38</v>
      </c>
      <c r="R4" s="134" t="s">
        <v>59</v>
      </c>
      <c r="S4" s="108" t="s">
        <v>38</v>
      </c>
      <c r="T4" s="108" t="s">
        <v>38</v>
      </c>
      <c r="U4" s="109" t="s">
        <v>59</v>
      </c>
      <c r="V4" s="110" t="s">
        <v>59</v>
      </c>
      <c r="W4" s="8"/>
      <c r="X4" s="287" t="s">
        <v>60</v>
      </c>
      <c r="Y4" s="287" t="s">
        <v>60</v>
      </c>
      <c r="Z4" s="287"/>
      <c r="AA4" s="287" t="s">
        <v>59</v>
      </c>
      <c r="AQ4" s="41"/>
      <c r="AS4" s="41"/>
    </row>
    <row r="5" spans="1:48">
      <c r="B5" s="493" t="s">
        <v>90</v>
      </c>
      <c r="C5" s="488">
        <f ca="1">LOOKUP($C$4,Tariff_SimCalculation!$O$9:$Q$9,Tariff_SimCalculation!$O$10:$Q$10)</f>
        <v>99061029.620682895</v>
      </c>
      <c r="E5" s="444" t="s">
        <v>302</v>
      </c>
      <c r="F5" s="445"/>
      <c r="G5" s="445"/>
      <c r="H5" s="446"/>
      <c r="I5" s="446"/>
      <c r="K5" s="104"/>
      <c r="L5" s="105"/>
      <c r="M5" s="106"/>
      <c r="N5" s="111" t="s">
        <v>61</v>
      </c>
      <c r="O5" s="111" t="s">
        <v>119</v>
      </c>
      <c r="P5" s="127" t="s">
        <v>87</v>
      </c>
      <c r="Q5" s="111" t="s">
        <v>113</v>
      </c>
      <c r="R5" s="127" t="s">
        <v>116</v>
      </c>
      <c r="S5" s="111" t="s">
        <v>256</v>
      </c>
      <c r="T5" s="111" t="s">
        <v>256</v>
      </c>
      <c r="U5" s="111" t="s">
        <v>256</v>
      </c>
      <c r="V5" s="112" t="s">
        <v>256</v>
      </c>
      <c r="X5" s="286" t="s">
        <v>0</v>
      </c>
      <c r="Y5" s="286" t="s">
        <v>180</v>
      </c>
      <c r="Z5" s="286" t="s">
        <v>182</v>
      </c>
      <c r="AA5" s="286" t="s">
        <v>176</v>
      </c>
      <c r="AQ5" s="41"/>
      <c r="AS5" s="41"/>
    </row>
    <row r="6" spans="1:48">
      <c r="B6" s="493" t="s">
        <v>91</v>
      </c>
      <c r="C6" s="488">
        <f ca="1">LOOKUP($C$4,Tariff_SimCalculation!$O$9:$Q$9,Tariff_SimCalculation!$O$11:$Q$11)</f>
        <v>167539670.149454</v>
      </c>
      <c r="E6" s="445"/>
      <c r="F6" s="445"/>
      <c r="G6" s="445"/>
      <c r="H6" s="446"/>
      <c r="I6" s="446"/>
      <c r="K6" s="129" t="s">
        <v>121</v>
      </c>
      <c r="L6" s="113" t="s">
        <v>28</v>
      </c>
      <c r="M6" s="130" t="s">
        <v>29</v>
      </c>
      <c r="N6" s="113" t="s">
        <v>88</v>
      </c>
      <c r="O6" s="113" t="s">
        <v>327</v>
      </c>
      <c r="P6" s="128" t="s">
        <v>86</v>
      </c>
      <c r="Q6" s="113" t="s">
        <v>62</v>
      </c>
      <c r="R6" s="128" t="s">
        <v>115</v>
      </c>
      <c r="S6" s="113" t="s">
        <v>114</v>
      </c>
      <c r="T6" s="113" t="s">
        <v>118</v>
      </c>
      <c r="U6" s="114" t="s">
        <v>115</v>
      </c>
      <c r="V6" s="115" t="s">
        <v>118</v>
      </c>
      <c r="X6" s="282" t="s">
        <v>178</v>
      </c>
      <c r="Y6" s="282" t="s">
        <v>179</v>
      </c>
      <c r="Z6" s="282" t="s">
        <v>181</v>
      </c>
      <c r="AA6" s="48" t="s">
        <v>177</v>
      </c>
      <c r="AQ6" s="41"/>
      <c r="AR6" s="281"/>
      <c r="AS6" s="41"/>
    </row>
    <row r="7" spans="1:48">
      <c r="B7" s="493" t="s">
        <v>329</v>
      </c>
      <c r="C7" s="488">
        <f ca="1">costs_GCA_capa+costs_TAG_capa</f>
        <v>266600699.77013689</v>
      </c>
      <c r="E7" s="445"/>
      <c r="F7" s="445"/>
      <c r="G7" s="445"/>
      <c r="H7" s="446"/>
      <c r="I7" s="446"/>
      <c r="K7" s="81" t="s">
        <v>21</v>
      </c>
      <c r="L7" s="68" t="s">
        <v>31</v>
      </c>
      <c r="M7" s="68" t="s">
        <v>22</v>
      </c>
      <c r="N7" s="133">
        <f ca="1">J53</f>
        <v>1.372598089052816</v>
      </c>
      <c r="O7" s="76">
        <f t="shared" ref="O7:O28" si="0">I53</f>
        <v>0.84700000000000009</v>
      </c>
      <c r="P7" s="138">
        <f t="shared" ref="P7:P24" ca="1" si="1">IFERROR(+N7/O7-1,"")</f>
        <v>0.62054083713437524</v>
      </c>
      <c r="Q7" s="72">
        <f t="shared" ref="Q7:Q28" ca="1" si="2">G53</f>
        <v>15458650.139332194</v>
      </c>
      <c r="R7" s="135">
        <f ca="1">N7*Q7/1000</f>
        <v>21218.51364058342</v>
      </c>
      <c r="S7" s="72">
        <f t="shared" ref="S7:S28" ca="1" si="3">H53</f>
        <v>16087777.273133563</v>
      </c>
      <c r="T7" s="72">
        <f t="shared" ref="T7:T28" ca="1" si="4">S7-Q7</f>
        <v>629127.133801369</v>
      </c>
      <c r="U7" s="72">
        <f t="shared" ref="U7:U28" ca="1" si="5">N7*S7/1000</f>
        <v>22082.052342210452</v>
      </c>
      <c r="V7" s="82">
        <f t="shared" ref="V7:V28" ca="1" si="6">U7-R7</f>
        <v>863.53870162703242</v>
      </c>
      <c r="Y7" s="4">
        <f ca="1">N7*($R$30/$R$29)</f>
        <v>0.67412311306661554</v>
      </c>
      <c r="Z7" s="292">
        <f t="shared" ref="Z7:Z28" ca="1" si="7">N7/$X$29</f>
        <v>0.77480534238509868</v>
      </c>
      <c r="AA7" s="284">
        <f ca="1">-Z7*T7*$Y$29/1000</f>
        <v>-424.10914195285596</v>
      </c>
      <c r="AB7" s="17"/>
      <c r="AO7" s="17"/>
      <c r="AQ7" s="41"/>
      <c r="AS7" s="41"/>
    </row>
    <row r="8" spans="1:48">
      <c r="B8" s="493" t="s">
        <v>328</v>
      </c>
      <c r="C8" s="489">
        <f ca="1">LOOKUP($C$4,Tariff_SimCalculation!$O$9:$Q$9,Tariff_SimCalculation!$O$12:$Q$12)</f>
        <v>0.25</v>
      </c>
      <c r="E8" s="445"/>
      <c r="F8" s="445"/>
      <c r="G8" s="445"/>
      <c r="H8" s="446"/>
      <c r="I8" s="446"/>
      <c r="K8" s="81" t="s">
        <v>21</v>
      </c>
      <c r="L8" s="68" t="s">
        <v>31</v>
      </c>
      <c r="M8" s="68" t="s">
        <v>23</v>
      </c>
      <c r="N8" s="133">
        <f t="shared" ref="N8:N28" ca="1" si="8">J54</f>
        <v>1.372598089052816</v>
      </c>
      <c r="O8" s="76">
        <f t="shared" si="0"/>
        <v>0.97</v>
      </c>
      <c r="P8" s="138">
        <f t="shared" ca="1" si="1"/>
        <v>0.41504957634310924</v>
      </c>
      <c r="Q8" s="72">
        <f t="shared" ca="1" si="2"/>
        <v>9945576.720543379</v>
      </c>
      <c r="R8" s="135">
        <f t="shared" ref="R8:R28" ca="1" si="9">N8*Q8/1000</f>
        <v>13651.279601146014</v>
      </c>
      <c r="S8" s="72">
        <f t="shared" ca="1" si="3"/>
        <v>10987013.31882192</v>
      </c>
      <c r="T8" s="72">
        <f t="shared" ca="1" si="4"/>
        <v>1041436.5982785411</v>
      </c>
      <c r="U8" s="72">
        <f t="shared" ca="1" si="5"/>
        <v>15080.753485812806</v>
      </c>
      <c r="V8" s="82">
        <f t="shared" ca="1" si="6"/>
        <v>1429.4738846667915</v>
      </c>
      <c r="Y8" s="4">
        <f t="shared" ref="Y8:Y28" ca="1" si="10">N8*($R$30/$R$29)</f>
        <v>0.67412311306661554</v>
      </c>
      <c r="Z8" s="292">
        <f t="shared" ca="1" si="7"/>
        <v>0.77480534238509868</v>
      </c>
      <c r="AA8" s="284">
        <f t="shared" ref="AA8:AA28" ca="1" si="11">-Z8*T8*$Y$29/1000</f>
        <v>-702.0564816930364</v>
      </c>
      <c r="AB8" s="17"/>
      <c r="AD8" s="4"/>
      <c r="AO8" s="17"/>
      <c r="AQ8" s="41"/>
      <c r="AS8" s="41"/>
    </row>
    <row r="9" spans="1:48">
      <c r="B9" s="493"/>
      <c r="C9" s="488"/>
      <c r="E9" s="445"/>
      <c r="F9" s="445"/>
      <c r="G9" s="445"/>
      <c r="H9" s="446"/>
      <c r="I9" s="446"/>
      <c r="K9" s="81" t="s">
        <v>21</v>
      </c>
      <c r="L9" s="68" t="s">
        <v>31</v>
      </c>
      <c r="M9" s="68" t="s">
        <v>24</v>
      </c>
      <c r="N9" s="133">
        <f t="shared" ca="1" si="8"/>
        <v>1.372598089052816</v>
      </c>
      <c r="O9" s="76">
        <f t="shared" si="0"/>
        <v>0.97</v>
      </c>
      <c r="P9" s="138">
        <f t="shared" ca="1" si="1"/>
        <v>0.41504957634310924</v>
      </c>
      <c r="Q9" s="72">
        <f t="shared" ca="1" si="2"/>
        <v>1871337.7898630137</v>
      </c>
      <c r="R9" s="135">
        <f t="shared" ca="1" si="9"/>
        <v>2568.5946743382929</v>
      </c>
      <c r="S9" s="72">
        <f t="shared" ca="1" si="3"/>
        <v>2230891.0150684929</v>
      </c>
      <c r="T9" s="72">
        <f t="shared" ca="1" si="4"/>
        <v>359553.22520547919</v>
      </c>
      <c r="U9" s="72">
        <f t="shared" ca="1" si="5"/>
        <v>3062.11674416811</v>
      </c>
      <c r="V9" s="82">
        <f t="shared" ca="1" si="6"/>
        <v>493.52206982981716</v>
      </c>
      <c r="Y9" s="4">
        <f t="shared" ca="1" si="10"/>
        <v>0.67412311306661554</v>
      </c>
      <c r="Z9" s="292">
        <f t="shared" ca="1" si="7"/>
        <v>0.77480534238509868</v>
      </c>
      <c r="AA9" s="284">
        <f t="shared" ca="1" si="11"/>
        <v>-242.38313948865951</v>
      </c>
      <c r="AB9" s="17"/>
      <c r="AO9" s="17"/>
      <c r="AQ9" s="41"/>
      <c r="AS9" s="41"/>
    </row>
    <row r="10" spans="1:48">
      <c r="B10" s="494"/>
      <c r="C10" s="490"/>
      <c r="E10" s="445"/>
      <c r="F10" s="445"/>
      <c r="G10" s="445"/>
      <c r="H10" s="446"/>
      <c r="I10" s="446"/>
      <c r="K10" s="81" t="s">
        <v>21</v>
      </c>
      <c r="L10" s="68" t="s">
        <v>31</v>
      </c>
      <c r="M10" s="68" t="s">
        <v>39</v>
      </c>
      <c r="N10" s="133">
        <f t="shared" ca="1" si="8"/>
        <v>1.372598089052816</v>
      </c>
      <c r="O10" s="76">
        <f t="shared" si="0"/>
        <v>0.84700000000000009</v>
      </c>
      <c r="P10" s="138">
        <f t="shared" ca="1" si="1"/>
        <v>0.62054083713437524</v>
      </c>
      <c r="Q10" s="72">
        <f t="shared" ca="1" si="2"/>
        <v>0</v>
      </c>
      <c r="R10" s="135">
        <f t="shared" ca="1" si="9"/>
        <v>0</v>
      </c>
      <c r="S10" s="72">
        <f t="shared" ca="1" si="3"/>
        <v>0</v>
      </c>
      <c r="T10" s="72">
        <f t="shared" ca="1" si="4"/>
        <v>0</v>
      </c>
      <c r="U10" s="72">
        <f t="shared" ca="1" si="5"/>
        <v>0</v>
      </c>
      <c r="V10" s="82">
        <f t="shared" ca="1" si="6"/>
        <v>0</v>
      </c>
      <c r="Y10" s="4">
        <f t="shared" ca="1" si="10"/>
        <v>0.67412311306661554</v>
      </c>
      <c r="Z10" s="292">
        <f t="shared" ca="1" si="7"/>
        <v>0.77480534238509868</v>
      </c>
      <c r="AA10" s="284">
        <f t="shared" ca="1" si="11"/>
        <v>0</v>
      </c>
      <c r="AB10" s="17"/>
      <c r="AO10" s="17"/>
      <c r="AQ10" s="41"/>
      <c r="AS10" s="41"/>
    </row>
    <row r="11" spans="1:48">
      <c r="B11" s="494"/>
      <c r="C11" s="491"/>
      <c r="E11" s="445"/>
      <c r="F11" s="445"/>
      <c r="G11" s="445"/>
      <c r="H11" s="446"/>
      <c r="I11" s="446"/>
      <c r="K11" s="81" t="s">
        <v>21</v>
      </c>
      <c r="L11" s="68" t="s">
        <v>31</v>
      </c>
      <c r="M11" s="68" t="s">
        <v>34</v>
      </c>
      <c r="N11" s="133">
        <f t="shared" ca="1" si="8"/>
        <v>1.372598089052816</v>
      </c>
      <c r="O11" s="76">
        <f t="shared" si="0"/>
        <v>0.84700000000000009</v>
      </c>
      <c r="P11" s="138">
        <f t="shared" ca="1" si="1"/>
        <v>0.62054083713437524</v>
      </c>
      <c r="Q11" s="72">
        <f t="shared" ca="1" si="2"/>
        <v>0</v>
      </c>
      <c r="R11" s="135">
        <f t="shared" ca="1" si="9"/>
        <v>0</v>
      </c>
      <c r="S11" s="72">
        <f t="shared" ca="1" si="3"/>
        <v>0</v>
      </c>
      <c r="T11" s="72">
        <f t="shared" ca="1" si="4"/>
        <v>0</v>
      </c>
      <c r="U11" s="72">
        <f t="shared" ca="1" si="5"/>
        <v>0</v>
      </c>
      <c r="V11" s="82">
        <f t="shared" ca="1" si="6"/>
        <v>0</v>
      </c>
      <c r="Y11" s="4">
        <f t="shared" ca="1" si="10"/>
        <v>0.67412311306661554</v>
      </c>
      <c r="Z11" s="292">
        <f t="shared" ca="1" si="7"/>
        <v>0.77480534238509868</v>
      </c>
      <c r="AA11" s="284">
        <f t="shared" ca="1" si="11"/>
        <v>0</v>
      </c>
      <c r="AB11" s="17"/>
      <c r="AO11" s="276"/>
      <c r="AQ11" s="280"/>
      <c r="AS11" s="41"/>
    </row>
    <row r="12" spans="1:48">
      <c r="B12" s="493" t="s">
        <v>17</v>
      </c>
      <c r="C12" s="489">
        <f>10%</f>
        <v>0.1</v>
      </c>
      <c r="E12" s="445"/>
      <c r="F12" s="445"/>
      <c r="G12" s="445"/>
      <c r="H12" s="446"/>
      <c r="I12" s="446"/>
      <c r="K12" s="81" t="s">
        <v>21</v>
      </c>
      <c r="L12" s="68" t="s">
        <v>31</v>
      </c>
      <c r="M12" s="68" t="s">
        <v>33</v>
      </c>
      <c r="N12" s="133">
        <f t="shared" ca="1" si="8"/>
        <v>1.372598089052816</v>
      </c>
      <c r="O12" s="76">
        <f t="shared" si="0"/>
        <v>0.97</v>
      </c>
      <c r="P12" s="138">
        <f t="shared" ca="1" si="1"/>
        <v>0.41504957634310924</v>
      </c>
      <c r="Q12" s="72">
        <f t="shared" ca="1" si="2"/>
        <v>0</v>
      </c>
      <c r="R12" s="135">
        <f t="shared" ca="1" si="9"/>
        <v>0</v>
      </c>
      <c r="S12" s="72">
        <f t="shared" ca="1" si="3"/>
        <v>0</v>
      </c>
      <c r="T12" s="72">
        <f t="shared" ca="1" si="4"/>
        <v>0</v>
      </c>
      <c r="U12" s="72">
        <f t="shared" ca="1" si="5"/>
        <v>0</v>
      </c>
      <c r="V12" s="82">
        <f t="shared" ca="1" si="6"/>
        <v>0</v>
      </c>
      <c r="Y12" s="4">
        <f t="shared" ca="1" si="10"/>
        <v>0.67412311306661554</v>
      </c>
      <c r="Z12" s="292">
        <f t="shared" ca="1" si="7"/>
        <v>0.77480534238509868</v>
      </c>
      <c r="AA12" s="284">
        <f t="shared" ca="1" si="11"/>
        <v>0</v>
      </c>
      <c r="AB12" s="17"/>
      <c r="AD12" s="477" t="s">
        <v>322</v>
      </c>
      <c r="AE12" s="148"/>
      <c r="AF12" s="148"/>
      <c r="AG12" s="148"/>
      <c r="AH12" s="148"/>
      <c r="AO12" s="276"/>
      <c r="AQ12" s="280"/>
      <c r="AS12" s="41"/>
    </row>
    <row r="13" spans="1:48">
      <c r="B13" s="493" t="s">
        <v>282</v>
      </c>
      <c r="C13" s="489">
        <v>1</v>
      </c>
      <c r="D13" s="145"/>
      <c r="E13" s="445"/>
      <c r="F13" s="445"/>
      <c r="G13" s="445"/>
      <c r="H13" s="446"/>
      <c r="I13" s="446"/>
      <c r="K13" s="81" t="s">
        <v>21</v>
      </c>
      <c r="L13" s="68" t="s">
        <v>31</v>
      </c>
      <c r="M13" s="68" t="s">
        <v>35</v>
      </c>
      <c r="N13" s="133">
        <f t="shared" ca="1" si="8"/>
        <v>0</v>
      </c>
      <c r="O13" s="76">
        <f t="shared" si="0"/>
        <v>0</v>
      </c>
      <c r="P13" s="138" t="str">
        <f t="shared" ca="1" si="1"/>
        <v/>
      </c>
      <c r="Q13" s="72">
        <f t="shared" ca="1" si="2"/>
        <v>4028400.0000000009</v>
      </c>
      <c r="R13" s="135">
        <f t="shared" ca="1" si="9"/>
        <v>0</v>
      </c>
      <c r="S13" s="72">
        <f t="shared" ca="1" si="3"/>
        <v>4028400.0000000009</v>
      </c>
      <c r="T13" s="72">
        <f t="shared" ca="1" si="4"/>
        <v>0</v>
      </c>
      <c r="U13" s="72">
        <f t="shared" ca="1" si="5"/>
        <v>0</v>
      </c>
      <c r="V13" s="82">
        <f t="shared" ca="1" si="6"/>
        <v>0</v>
      </c>
      <c r="Y13" s="4">
        <f t="shared" ca="1" si="10"/>
        <v>0</v>
      </c>
      <c r="Z13" s="292">
        <f t="shared" ca="1" si="7"/>
        <v>0</v>
      </c>
      <c r="AA13" s="284">
        <f t="shared" ca="1" si="11"/>
        <v>0</v>
      </c>
      <c r="AB13" s="17"/>
      <c r="AD13" s="148"/>
      <c r="AE13" s="148"/>
      <c r="AF13" s="148"/>
      <c r="AG13" s="148"/>
      <c r="AH13" s="148"/>
      <c r="AO13" s="276"/>
      <c r="AQ13" s="280"/>
      <c r="AS13" s="41"/>
    </row>
    <row r="14" spans="1:48">
      <c r="B14" s="495" t="s">
        <v>224</v>
      </c>
      <c r="C14" s="489">
        <f ca="1">LOOKUP($C$4,Tariff_SimCalculation!$O$9:$Q$9,Tariff_SimCalculation!$O$14:$Q$14)</f>
        <v>0.5</v>
      </c>
      <c r="E14" s="445"/>
      <c r="F14" s="445"/>
      <c r="G14" s="445"/>
      <c r="H14" s="446"/>
      <c r="I14" s="446"/>
      <c r="K14" s="83" t="s">
        <v>30</v>
      </c>
      <c r="L14" s="68" t="s">
        <v>31</v>
      </c>
      <c r="M14" s="68" t="s">
        <v>22</v>
      </c>
      <c r="N14" s="133">
        <f t="shared" ca="1" si="8"/>
        <v>2.1480106281567006</v>
      </c>
      <c r="O14" s="76">
        <f t="shared" si="0"/>
        <v>1.2320000000000002</v>
      </c>
      <c r="P14" s="138">
        <f t="shared" ca="1" si="1"/>
        <v>0.74351512025706201</v>
      </c>
      <c r="Q14" s="72">
        <f t="shared" ca="1" si="2"/>
        <v>4599480.7206585268</v>
      </c>
      <c r="R14" s="135">
        <f t="shared" ca="1" si="9"/>
        <v>9879.7334719763567</v>
      </c>
      <c r="S14" s="72">
        <f t="shared" ca="1" si="3"/>
        <v>4599480.7206585268</v>
      </c>
      <c r="T14" s="72">
        <f t="shared" ca="1" si="4"/>
        <v>0</v>
      </c>
      <c r="U14" s="72">
        <f t="shared" ca="1" si="5"/>
        <v>9879.7334719763567</v>
      </c>
      <c r="V14" s="82">
        <f t="shared" ca="1" si="6"/>
        <v>0</v>
      </c>
      <c r="Y14" s="4">
        <f t="shared" ca="1" si="10"/>
        <v>1.0549509161508479</v>
      </c>
      <c r="Z14" s="292">
        <f t="shared" ca="1" si="7"/>
        <v>1.2125108751566558</v>
      </c>
      <c r="AA14" s="284">
        <f t="shared" ca="1" si="11"/>
        <v>0</v>
      </c>
      <c r="AB14" s="17"/>
      <c r="AD14" s="148"/>
      <c r="AE14" s="148" t="s">
        <v>287</v>
      </c>
      <c r="AF14" s="462">
        <f ca="1">costs_GCA_capa/1000000</f>
        <v>99.061029620682902</v>
      </c>
      <c r="AG14" s="462"/>
      <c r="AH14" s="462"/>
      <c r="AQ14" s="280"/>
      <c r="AS14" s="41"/>
    </row>
    <row r="15" spans="1:48">
      <c r="B15" s="448"/>
      <c r="C15" s="447"/>
      <c r="E15" s="445"/>
      <c r="F15" s="445"/>
      <c r="G15" s="445"/>
      <c r="H15" s="446"/>
      <c r="I15" s="446"/>
      <c r="K15" s="83" t="s">
        <v>30</v>
      </c>
      <c r="L15" s="68" t="s">
        <v>31</v>
      </c>
      <c r="M15" s="68" t="s">
        <v>23</v>
      </c>
      <c r="N15" s="133">
        <f t="shared" ca="1" si="8"/>
        <v>4.3074672467522168</v>
      </c>
      <c r="O15" s="76">
        <f t="shared" si="0"/>
        <v>3.26</v>
      </c>
      <c r="P15" s="138">
        <f t="shared" ca="1" si="1"/>
        <v>0.3213089713963857</v>
      </c>
      <c r="Q15" s="72">
        <f t="shared" ca="1" si="2"/>
        <v>13795957.000000002</v>
      </c>
      <c r="R15" s="135">
        <f t="shared" ca="1" si="9"/>
        <v>59425.632915101982</v>
      </c>
      <c r="S15" s="72">
        <f t="shared" ca="1" si="3"/>
        <v>13795957.000000002</v>
      </c>
      <c r="T15" s="72">
        <f t="shared" ca="1" si="4"/>
        <v>0</v>
      </c>
      <c r="U15" s="72">
        <f t="shared" ca="1" si="5"/>
        <v>59425.632915101982</v>
      </c>
      <c r="V15" s="82">
        <f t="shared" ca="1" si="6"/>
        <v>0</v>
      </c>
      <c r="Y15" s="4">
        <f t="shared" ca="1" si="10"/>
        <v>2.1155232933603147</v>
      </c>
      <c r="Z15" s="292">
        <f t="shared" ca="1" si="7"/>
        <v>2.43148279277841</v>
      </c>
      <c r="AA15" s="284">
        <f t="shared" ca="1" si="11"/>
        <v>0</v>
      </c>
      <c r="AB15" s="17"/>
      <c r="AD15" s="148"/>
      <c r="AE15" s="148" t="s">
        <v>288</v>
      </c>
      <c r="AF15" s="462">
        <f ca="1">costs_TAG_capa/1000000</f>
        <v>167.539670149454</v>
      </c>
      <c r="AG15" s="462"/>
      <c r="AH15" s="462">
        <f ca="1">U43/1000</f>
        <v>73.196133075649911</v>
      </c>
      <c r="AQ15" s="280"/>
      <c r="AS15" s="41"/>
    </row>
    <row r="16" spans="1:48">
      <c r="B16" s="448"/>
      <c r="C16" s="447"/>
      <c r="E16" s="445"/>
      <c r="F16" s="445"/>
      <c r="G16" s="445"/>
      <c r="H16" s="446"/>
      <c r="I16" s="446"/>
      <c r="K16" s="83" t="s">
        <v>30</v>
      </c>
      <c r="L16" s="68" t="s">
        <v>31</v>
      </c>
      <c r="M16" s="68" t="s">
        <v>24</v>
      </c>
      <c r="N16" s="133">
        <f t="shared" ca="1" si="8"/>
        <v>4.3074672467522168</v>
      </c>
      <c r="O16" s="76">
        <f t="shared" si="0"/>
        <v>3.26</v>
      </c>
      <c r="P16" s="138">
        <f t="shared" ca="1" si="1"/>
        <v>0.3213089713963857</v>
      </c>
      <c r="Q16" s="72">
        <f t="shared" ca="1" si="2"/>
        <v>324117.03253424657</v>
      </c>
      <c r="R16" s="135">
        <f t="shared" ca="1" si="9"/>
        <v>1396.1235017557899</v>
      </c>
      <c r="S16" s="72">
        <f t="shared" ca="1" si="3"/>
        <v>324117.03253424657</v>
      </c>
      <c r="T16" s="72">
        <f t="shared" ca="1" si="4"/>
        <v>0</v>
      </c>
      <c r="U16" s="72">
        <f t="shared" ca="1" si="5"/>
        <v>1396.1235017557899</v>
      </c>
      <c r="V16" s="82">
        <f t="shared" ca="1" si="6"/>
        <v>0</v>
      </c>
      <c r="Y16" s="4">
        <f t="shared" ca="1" si="10"/>
        <v>2.1155232933603147</v>
      </c>
      <c r="Z16" s="292">
        <f t="shared" ca="1" si="7"/>
        <v>2.43148279277841</v>
      </c>
      <c r="AA16" s="284">
        <f t="shared" ca="1" si="11"/>
        <v>0</v>
      </c>
      <c r="AB16" s="17"/>
      <c r="AD16" s="148"/>
      <c r="AE16" s="148"/>
      <c r="AF16" s="462"/>
      <c r="AG16" s="462"/>
      <c r="AH16" s="462">
        <f ca="1">AA44/1000</f>
        <v>168.80346614751971</v>
      </c>
      <c r="AQ16" s="280"/>
      <c r="AS16" s="41"/>
    </row>
    <row r="17" spans="2:46">
      <c r="B17" s="439"/>
      <c r="C17" s="284"/>
      <c r="E17" s="445"/>
      <c r="F17" s="445"/>
      <c r="G17" s="445"/>
      <c r="H17" s="446"/>
      <c r="I17" s="446"/>
      <c r="K17" s="83" t="s">
        <v>30</v>
      </c>
      <c r="L17" s="68" t="s">
        <v>31</v>
      </c>
      <c r="M17" s="68" t="s">
        <v>39</v>
      </c>
      <c r="N17" s="133">
        <f t="shared" ca="1" si="8"/>
        <v>2.1434083293827535</v>
      </c>
      <c r="O17" s="76">
        <f t="shared" si="0"/>
        <v>1.2320000000000002</v>
      </c>
      <c r="P17" s="138">
        <f ca="1">IFERROR(+N17/O17-1,"")</f>
        <v>0.73977948813535166</v>
      </c>
      <c r="Q17" s="72">
        <f t="shared" ca="1" si="2"/>
        <v>5747512.6909736302</v>
      </c>
      <c r="R17" s="135">
        <f t="shared" ca="1" si="9"/>
        <v>12319.266575065963</v>
      </c>
      <c r="S17" s="72">
        <f t="shared" ca="1" si="3"/>
        <v>6142391.6287736297</v>
      </c>
      <c r="T17" s="72">
        <f t="shared" ca="1" si="4"/>
        <v>394878.93779999949</v>
      </c>
      <c r="U17" s="72">
        <f t="shared" ca="1" si="5"/>
        <v>13165.653379444295</v>
      </c>
      <c r="V17" s="82">
        <f t="shared" ca="1" si="6"/>
        <v>846.38680437833136</v>
      </c>
      <c r="Y17" s="4">
        <f t="shared" ca="1" si="10"/>
        <v>1.0526905924614154</v>
      </c>
      <c r="Z17" s="292">
        <f t="shared" ca="1" si="7"/>
        <v>1.2099129656114316</v>
      </c>
      <c r="AA17" s="284">
        <f t="shared" ca="1" si="11"/>
        <v>-415.68534298321583</v>
      </c>
      <c r="AB17" s="17"/>
      <c r="AD17" s="148"/>
      <c r="AE17" s="148"/>
      <c r="AF17" s="462">
        <f ca="1">R30/1000</f>
        <v>95.607333071869874</v>
      </c>
      <c r="AG17" s="462"/>
      <c r="AH17" s="462">
        <f ca="1">V45/1000</f>
        <v>1.2637959980657034</v>
      </c>
      <c r="AO17" s="276"/>
      <c r="AQ17" s="280"/>
      <c r="AS17" s="41"/>
    </row>
    <row r="18" spans="2:46">
      <c r="B18" s="265" t="s">
        <v>169</v>
      </c>
      <c r="E18" s="445"/>
      <c r="F18" s="445"/>
      <c r="G18" s="445"/>
      <c r="H18" s="446"/>
      <c r="I18" s="446"/>
      <c r="K18" s="83" t="s">
        <v>30</v>
      </c>
      <c r="L18" s="68" t="s">
        <v>31</v>
      </c>
      <c r="M18" s="68" t="s">
        <v>34</v>
      </c>
      <c r="N18" s="133">
        <f t="shared" ca="1" si="8"/>
        <v>0</v>
      </c>
      <c r="O18" s="76">
        <f t="shared" si="0"/>
        <v>1.2320000000000002</v>
      </c>
      <c r="P18" s="138">
        <f t="shared" ca="1" si="1"/>
        <v>-1</v>
      </c>
      <c r="Q18" s="72">
        <f t="shared" ca="1" si="2"/>
        <v>0</v>
      </c>
      <c r="R18" s="135">
        <f t="shared" ca="1" si="9"/>
        <v>0</v>
      </c>
      <c r="S18" s="72">
        <f t="shared" ca="1" si="3"/>
        <v>0</v>
      </c>
      <c r="T18" s="72">
        <f t="shared" ca="1" si="4"/>
        <v>0</v>
      </c>
      <c r="U18" s="72">
        <f t="shared" ca="1" si="5"/>
        <v>0</v>
      </c>
      <c r="V18" s="82">
        <f t="shared" ca="1" si="6"/>
        <v>0</v>
      </c>
      <c r="Y18" s="4">
        <f t="shared" ca="1" si="10"/>
        <v>0</v>
      </c>
      <c r="Z18" s="292">
        <f t="shared" ca="1" si="7"/>
        <v>0</v>
      </c>
      <c r="AA18" s="284">
        <f t="shared" ca="1" si="11"/>
        <v>0</v>
      </c>
      <c r="AB18" s="17"/>
      <c r="AD18" s="148"/>
      <c r="AE18" s="148"/>
      <c r="AF18" s="462">
        <f ca="1">R30/1000-(ABS(AA29)+ABS(AA43))/2/1000</f>
        <v>95.607333071869874</v>
      </c>
      <c r="AG18" s="462"/>
      <c r="AH18" s="462"/>
      <c r="AO18" s="276"/>
      <c r="AQ18" s="280"/>
      <c r="AS18" s="41"/>
    </row>
    <row r="19" spans="2:46">
      <c r="B19" s="262" t="s">
        <v>167</v>
      </c>
      <c r="C19" s="263">
        <f ca="1">(R29+R43)*1000-C7</f>
        <v>0</v>
      </c>
      <c r="E19" s="445"/>
      <c r="F19" s="445"/>
      <c r="G19" s="445"/>
      <c r="H19" s="446"/>
      <c r="I19" s="446"/>
      <c r="K19" s="83" t="s">
        <v>30</v>
      </c>
      <c r="L19" s="68" t="s">
        <v>31</v>
      </c>
      <c r="M19" s="68" t="s">
        <v>33</v>
      </c>
      <c r="N19" s="133">
        <f t="shared" ca="1" si="8"/>
        <v>3.7353308470594149</v>
      </c>
      <c r="O19" s="76">
        <f t="shared" si="0"/>
        <v>1.9</v>
      </c>
      <c r="P19" s="138">
        <f t="shared" ca="1" si="1"/>
        <v>0.96596360371548151</v>
      </c>
      <c r="Q19" s="72">
        <f t="shared" ca="1" si="2"/>
        <v>638698.63013698626</v>
      </c>
      <c r="R19" s="135">
        <f t="shared" ca="1" si="9"/>
        <v>2385.7506951252767</v>
      </c>
      <c r="S19" s="72">
        <f t="shared" ca="1" si="3"/>
        <v>638698.63013698626</v>
      </c>
      <c r="T19" s="72">
        <f t="shared" ca="1" si="4"/>
        <v>0</v>
      </c>
      <c r="U19" s="72">
        <f t="shared" ca="1" si="5"/>
        <v>2385.7506951252767</v>
      </c>
      <c r="V19" s="82">
        <f t="shared" ca="1" si="6"/>
        <v>0</v>
      </c>
      <c r="Y19" s="4">
        <f t="shared" ca="1" si="10"/>
        <v>1.8345303545417937</v>
      </c>
      <c r="Z19" s="292">
        <f t="shared" ca="1" si="7"/>
        <v>2.1085227489094418</v>
      </c>
      <c r="AA19" s="284">
        <f t="shared" ca="1" si="11"/>
        <v>0</v>
      </c>
      <c r="AB19" s="17"/>
      <c r="AD19" s="148"/>
      <c r="AE19" s="148"/>
      <c r="AF19" s="462">
        <f ca="1">-AA29/1000</f>
        <v>0</v>
      </c>
      <c r="AG19" s="462"/>
      <c r="AH19" s="462"/>
      <c r="AO19" s="276"/>
      <c r="AQ19" s="280"/>
      <c r="AS19" s="41"/>
    </row>
    <row r="20" spans="2:46">
      <c r="B20" s="258" t="s">
        <v>84</v>
      </c>
      <c r="C20" s="260">
        <f ca="1">-R31*1000</f>
        <v>95607333.071869865</v>
      </c>
      <c r="D20" s="440"/>
      <c r="E20" s="445"/>
      <c r="F20" s="445"/>
      <c r="G20" s="445"/>
      <c r="H20" s="446"/>
      <c r="I20" s="446"/>
      <c r="K20" s="83" t="s">
        <v>30</v>
      </c>
      <c r="L20" s="68" t="s">
        <v>31</v>
      </c>
      <c r="M20" s="68" t="s">
        <v>35</v>
      </c>
      <c r="N20" s="133">
        <f t="shared" ca="1" si="8"/>
        <v>1.26</v>
      </c>
      <c r="O20" s="76">
        <f t="shared" si="0"/>
        <v>0.42</v>
      </c>
      <c r="P20" s="138">
        <f t="shared" ca="1" si="1"/>
        <v>2</v>
      </c>
      <c r="Q20" s="72">
        <f t="shared" ca="1" si="2"/>
        <v>21422795</v>
      </c>
      <c r="R20" s="135">
        <f t="shared" ca="1" si="9"/>
        <v>26992.721699999998</v>
      </c>
      <c r="S20" s="72">
        <f t="shared" ca="1" si="3"/>
        <v>21422795</v>
      </c>
      <c r="T20" s="72">
        <f t="shared" ca="1" si="4"/>
        <v>0</v>
      </c>
      <c r="U20" s="72">
        <f t="shared" ca="1" si="5"/>
        <v>26992.721699999998</v>
      </c>
      <c r="V20" s="82">
        <f t="shared" ca="1" si="6"/>
        <v>0</v>
      </c>
      <c r="Y20" s="4">
        <f t="shared" ca="1" si="10"/>
        <v>0.61882289450808925</v>
      </c>
      <c r="Z20" s="292">
        <f t="shared" ca="1" si="7"/>
        <v>0.71124587684578888</v>
      </c>
      <c r="AA20" s="284">
        <f t="shared" ca="1" si="11"/>
        <v>0</v>
      </c>
      <c r="AB20" s="17"/>
      <c r="AD20" s="148"/>
      <c r="AE20" s="148"/>
      <c r="AF20" s="462"/>
      <c r="AG20" s="462"/>
      <c r="AH20" s="462"/>
      <c r="AO20" s="276"/>
      <c r="AQ20" s="280"/>
      <c r="AS20" s="41"/>
    </row>
    <row r="21" spans="2:46">
      <c r="B21" s="258" t="s">
        <v>168</v>
      </c>
      <c r="C21" s="449">
        <f ca="1">$T$94</f>
        <v>0.25085771086384911</v>
      </c>
      <c r="E21" s="445"/>
      <c r="F21" s="445"/>
      <c r="G21" s="445"/>
      <c r="H21" s="446"/>
      <c r="I21" s="446"/>
      <c r="K21" s="81" t="s">
        <v>21</v>
      </c>
      <c r="L21" s="73" t="s">
        <v>32</v>
      </c>
      <c r="M21" s="68" t="s">
        <v>24</v>
      </c>
      <c r="N21" s="133">
        <f t="shared" ca="1" si="8"/>
        <v>1.2353382801475343</v>
      </c>
      <c r="O21" s="76">
        <f t="shared" si="0"/>
        <v>0.88</v>
      </c>
      <c r="P21" s="138">
        <f t="shared" ca="1" si="1"/>
        <v>0.4037935001676527</v>
      </c>
      <c r="Q21" s="72">
        <f t="shared" ca="1" si="2"/>
        <v>3357000</v>
      </c>
      <c r="R21" s="135">
        <f t="shared" ca="1" si="9"/>
        <v>4147.0306064552724</v>
      </c>
      <c r="S21" s="72">
        <f t="shared" ca="1" si="3"/>
        <v>3357000</v>
      </c>
      <c r="T21" s="72">
        <f t="shared" ca="1" si="4"/>
        <v>0</v>
      </c>
      <c r="U21" s="72">
        <f t="shared" ca="1" si="5"/>
        <v>4147.0306064552724</v>
      </c>
      <c r="V21" s="82">
        <f t="shared" ca="1" si="6"/>
        <v>0</v>
      </c>
      <c r="Y21" s="4">
        <f t="shared" ca="1" si="10"/>
        <v>0.60671080175995395</v>
      </c>
      <c r="Z21" s="292">
        <f t="shared" ca="1" si="7"/>
        <v>0.6973248081465887</v>
      </c>
      <c r="AA21" s="284">
        <f t="shared" ca="1" si="11"/>
        <v>0</v>
      </c>
      <c r="AB21" s="17"/>
      <c r="AD21" s="148"/>
      <c r="AE21" s="148"/>
      <c r="AF21" s="462">
        <f ca="1">R29/1000</f>
        <v>194.66836269255276</v>
      </c>
      <c r="AG21" s="462"/>
      <c r="AH21" s="462"/>
      <c r="AO21" s="276"/>
      <c r="AQ21" s="280"/>
      <c r="AS21" s="41"/>
    </row>
    <row r="22" spans="2:46">
      <c r="B22" s="258" t="s">
        <v>75</v>
      </c>
      <c r="C22" s="449">
        <f ca="1">K174</f>
        <v>8.6025679538185972E-3</v>
      </c>
      <c r="K22" s="83" t="s">
        <v>30</v>
      </c>
      <c r="L22" s="73" t="s">
        <v>32</v>
      </c>
      <c r="M22" s="68" t="s">
        <v>24</v>
      </c>
      <c r="N22" s="133">
        <f t="shared" ca="1" si="8"/>
        <v>3.8767205220769951</v>
      </c>
      <c r="O22" s="76">
        <f t="shared" si="0"/>
        <v>2.93</v>
      </c>
      <c r="P22" s="138">
        <f t="shared" ca="1" si="1"/>
        <v>0.3231128061696229</v>
      </c>
      <c r="Q22" s="72">
        <f t="shared" ca="1" si="2"/>
        <v>6431372.0000000019</v>
      </c>
      <c r="R22" s="135">
        <f t="shared" ca="1" si="9"/>
        <v>24932.631817511377</v>
      </c>
      <c r="S22" s="72">
        <f t="shared" ca="1" si="3"/>
        <v>6431372.0000000019</v>
      </c>
      <c r="T22" s="72">
        <f t="shared" ca="1" si="4"/>
        <v>0</v>
      </c>
      <c r="U22" s="72">
        <f t="shared" ca="1" si="5"/>
        <v>24932.631817511377</v>
      </c>
      <c r="V22" s="82">
        <f t="shared" ca="1" si="6"/>
        <v>0</v>
      </c>
      <c r="Y22" s="4">
        <f t="shared" ca="1" si="10"/>
        <v>1.9039709640242835</v>
      </c>
      <c r="Z22" s="292">
        <f t="shared" ca="1" si="7"/>
        <v>2.188334513500569</v>
      </c>
      <c r="AA22" s="284">
        <f t="shared" ca="1" si="11"/>
        <v>0</v>
      </c>
      <c r="AB22" s="17"/>
      <c r="AD22" s="148"/>
      <c r="AE22" s="148"/>
      <c r="AF22" s="462">
        <f ca="1">R43/1000</f>
        <v>71.932337077584194</v>
      </c>
      <c r="AG22" s="462"/>
      <c r="AH22" s="462"/>
      <c r="AO22" s="276"/>
      <c r="AQ22" s="280"/>
      <c r="AS22" s="41"/>
    </row>
    <row r="23" spans="2:46">
      <c r="B23" s="261" t="s">
        <v>69</v>
      </c>
      <c r="C23" s="450">
        <f ca="1">K172</f>
        <v>8.5329099872100826</v>
      </c>
      <c r="E23" s="444" t="s">
        <v>303</v>
      </c>
      <c r="F23" s="445"/>
      <c r="G23" s="445"/>
      <c r="H23" s="446"/>
      <c r="I23" s="446"/>
      <c r="K23" s="83" t="s">
        <v>30</v>
      </c>
      <c r="L23" s="73" t="s">
        <v>32</v>
      </c>
      <c r="M23" s="68" t="s">
        <v>35</v>
      </c>
      <c r="N23" s="133">
        <f t="shared" ca="1" si="8"/>
        <v>1.1340000000000001</v>
      </c>
      <c r="O23" s="76">
        <f t="shared" si="0"/>
        <v>0.378</v>
      </c>
      <c r="P23" s="138">
        <f t="shared" ca="1" si="1"/>
        <v>2.0000000000000004</v>
      </c>
      <c r="Q23" s="72">
        <f t="shared" ca="1" si="2"/>
        <v>4635629</v>
      </c>
      <c r="R23" s="135">
        <f t="shared" ca="1" si="9"/>
        <v>5256.8032860000003</v>
      </c>
      <c r="S23" s="72">
        <f t="shared" ca="1" si="3"/>
        <v>4635629</v>
      </c>
      <c r="T23" s="72">
        <f t="shared" ca="1" si="4"/>
        <v>0</v>
      </c>
      <c r="U23" s="72">
        <f t="shared" ca="1" si="5"/>
        <v>5256.8032860000003</v>
      </c>
      <c r="V23" s="82">
        <f t="shared" ca="1" si="6"/>
        <v>0</v>
      </c>
      <c r="Y23" s="4">
        <f t="shared" ca="1" si="10"/>
        <v>0.55694060505728038</v>
      </c>
      <c r="Z23" s="292">
        <f t="shared" ca="1" si="7"/>
        <v>0.64012128916121003</v>
      </c>
      <c r="AA23" s="284">
        <f t="shared" ca="1" si="11"/>
        <v>0</v>
      </c>
      <c r="AB23" s="17"/>
      <c r="AD23" s="148"/>
      <c r="AE23" s="148"/>
      <c r="AF23" s="462"/>
      <c r="AG23" s="462"/>
      <c r="AH23" s="462"/>
      <c r="AO23" s="276"/>
      <c r="AQ23" s="280"/>
      <c r="AS23" s="41"/>
    </row>
    <row r="24" spans="2:46">
      <c r="B24" s="261" t="s">
        <v>71</v>
      </c>
      <c r="C24" s="450">
        <f ca="1">K173</f>
        <v>8.4598194324334148</v>
      </c>
      <c r="E24" s="445"/>
      <c r="F24" s="445"/>
      <c r="G24" s="445"/>
      <c r="H24" s="446"/>
      <c r="I24" s="446"/>
      <c r="K24" s="83" t="s">
        <v>30</v>
      </c>
      <c r="L24" s="73" t="s">
        <v>32</v>
      </c>
      <c r="M24" s="68" t="s">
        <v>35</v>
      </c>
      <c r="N24" s="133">
        <f t="shared" ca="1" si="8"/>
        <v>1.1340000000000001</v>
      </c>
      <c r="O24" s="76">
        <f t="shared" si="0"/>
        <v>0.378</v>
      </c>
      <c r="P24" s="138">
        <f t="shared" ca="1" si="1"/>
        <v>2.0000000000000004</v>
      </c>
      <c r="Q24" s="72">
        <f t="shared" ca="1" si="2"/>
        <v>2378663</v>
      </c>
      <c r="R24" s="135">
        <f t="shared" ca="1" si="9"/>
        <v>2697.4038420000002</v>
      </c>
      <c r="S24" s="72">
        <f t="shared" ca="1" si="3"/>
        <v>2378663</v>
      </c>
      <c r="T24" s="72">
        <f t="shared" ca="1" si="4"/>
        <v>0</v>
      </c>
      <c r="U24" s="72">
        <f t="shared" ca="1" si="5"/>
        <v>2697.4038420000002</v>
      </c>
      <c r="V24" s="82">
        <f t="shared" ca="1" si="6"/>
        <v>0</v>
      </c>
      <c r="Y24" s="4">
        <f t="shared" ca="1" si="10"/>
        <v>0.55694060505728038</v>
      </c>
      <c r="Z24" s="292">
        <f t="shared" ca="1" si="7"/>
        <v>0.64012128916121003</v>
      </c>
      <c r="AA24" s="284">
        <f t="shared" ca="1" si="11"/>
        <v>0</v>
      </c>
      <c r="AB24" s="17"/>
      <c r="AD24" s="148"/>
      <c r="AE24" s="148"/>
      <c r="AF24" s="462">
        <f ca="1">U29/1000</f>
        <v>198.63970457016461</v>
      </c>
      <c r="AG24" s="462"/>
      <c r="AH24" s="462"/>
      <c r="AO24" s="276"/>
      <c r="AQ24" s="280"/>
      <c r="AS24" s="41"/>
    </row>
    <row r="25" spans="2:46">
      <c r="B25" s="258" t="s">
        <v>291</v>
      </c>
      <c r="C25" s="259">
        <f ca="1">E261</f>
        <v>6.330948561074895E-2</v>
      </c>
      <c r="E25" s="445"/>
      <c r="F25" s="445"/>
      <c r="G25" s="445"/>
      <c r="H25" s="446"/>
      <c r="I25" s="446"/>
      <c r="K25" s="81" t="s">
        <v>21</v>
      </c>
      <c r="L25" s="68" t="s">
        <v>31</v>
      </c>
      <c r="M25" s="68" t="s">
        <v>56</v>
      </c>
      <c r="N25" s="133">
        <f t="shared" ca="1" si="8"/>
        <v>0</v>
      </c>
      <c r="O25" s="76">
        <f t="shared" si="0"/>
        <v>0</v>
      </c>
      <c r="P25" s="138"/>
      <c r="Q25" s="72">
        <f t="shared" ca="1" si="2"/>
        <v>0</v>
      </c>
      <c r="R25" s="135">
        <f t="shared" ca="1" si="9"/>
        <v>0</v>
      </c>
      <c r="S25" s="72">
        <f t="shared" ca="1" si="3"/>
        <v>0</v>
      </c>
      <c r="T25" s="72">
        <f t="shared" ca="1" si="4"/>
        <v>0</v>
      </c>
      <c r="U25" s="72">
        <f t="shared" ca="1" si="5"/>
        <v>0</v>
      </c>
      <c r="V25" s="82">
        <f t="shared" ca="1" si="6"/>
        <v>0</v>
      </c>
      <c r="Y25" s="4">
        <f t="shared" ca="1" si="10"/>
        <v>0</v>
      </c>
      <c r="Z25" s="292">
        <f t="shared" ca="1" si="7"/>
        <v>0</v>
      </c>
      <c r="AA25" s="284">
        <f t="shared" ca="1" si="11"/>
        <v>0</v>
      </c>
      <c r="AB25" s="17"/>
      <c r="AD25" s="148"/>
      <c r="AE25" s="148"/>
      <c r="AF25" s="462">
        <f ca="1">AA30/1000</f>
        <v>103.03237149829474</v>
      </c>
      <c r="AG25" s="462"/>
      <c r="AH25" s="462"/>
      <c r="AO25" s="276"/>
      <c r="AQ25" s="280"/>
      <c r="AS25" s="41"/>
    </row>
    <row r="26" spans="2:46">
      <c r="B26" s="261" t="s">
        <v>69</v>
      </c>
      <c r="C26" s="450">
        <f ca="1">E259</f>
        <v>80.504825070608931</v>
      </c>
      <c r="E26" s="445"/>
      <c r="F26" s="445"/>
      <c r="G26" s="445"/>
      <c r="H26" s="446"/>
      <c r="I26" s="446"/>
      <c r="K26" s="81" t="s">
        <v>21</v>
      </c>
      <c r="L26" s="68" t="s">
        <v>31</v>
      </c>
      <c r="M26" s="68" t="s">
        <v>25</v>
      </c>
      <c r="N26" s="133">
        <f t="shared" ca="1" si="8"/>
        <v>0</v>
      </c>
      <c r="O26" s="76">
        <f t="shared" si="0"/>
        <v>0</v>
      </c>
      <c r="P26" s="138"/>
      <c r="Q26" s="72">
        <f t="shared" ca="1" si="2"/>
        <v>7991748.5196698848</v>
      </c>
      <c r="R26" s="135">
        <f t="shared" ca="1" si="9"/>
        <v>0</v>
      </c>
      <c r="S26" s="72">
        <f t="shared" ca="1" si="3"/>
        <v>8672911.2795048263</v>
      </c>
      <c r="T26" s="72">
        <f t="shared" ca="1" si="4"/>
        <v>681162.75983494148</v>
      </c>
      <c r="U26" s="72">
        <f t="shared" ca="1" si="5"/>
        <v>0</v>
      </c>
      <c r="V26" s="82">
        <f t="shared" ca="1" si="6"/>
        <v>0</v>
      </c>
      <c r="Y26" s="4">
        <f t="shared" ca="1" si="10"/>
        <v>0</v>
      </c>
      <c r="Z26" s="292">
        <f t="shared" ca="1" si="7"/>
        <v>0</v>
      </c>
      <c r="AA26" s="284">
        <f t="shared" ca="1" si="11"/>
        <v>0</v>
      </c>
      <c r="AB26" s="17"/>
      <c r="AD26" s="148"/>
      <c r="AE26" s="148"/>
      <c r="AF26" s="462">
        <f ca="1">V31/1000</f>
        <v>3.9713418776118488</v>
      </c>
      <c r="AG26" s="462"/>
      <c r="AH26" s="462"/>
      <c r="AO26" s="276"/>
      <c r="AQ26" s="280"/>
      <c r="AR26" s="41"/>
      <c r="AS26" s="41"/>
      <c r="AT26" s="41"/>
    </row>
    <row r="27" spans="2:46">
      <c r="B27" s="261" t="s">
        <v>71</v>
      </c>
      <c r="C27" s="450">
        <f ca="1">E260</f>
        <v>85.768153440873462</v>
      </c>
      <c r="E27" s="445"/>
      <c r="F27" s="445"/>
      <c r="G27" s="445"/>
      <c r="H27" s="446"/>
      <c r="I27" s="446"/>
      <c r="K27" s="83" t="s">
        <v>30</v>
      </c>
      <c r="L27" s="68" t="s">
        <v>31</v>
      </c>
      <c r="M27" s="68" t="s">
        <v>56</v>
      </c>
      <c r="N27" s="133">
        <f t="shared" ca="1" si="8"/>
        <v>2.1537336233761084</v>
      </c>
      <c r="O27" s="76">
        <f t="shared" si="0"/>
        <v>0.44</v>
      </c>
      <c r="P27" s="138">
        <f ca="1">IFERROR(+N27/O27-1,"")</f>
        <v>3.89484914403661</v>
      </c>
      <c r="Q27" s="72">
        <f t="shared" ca="1" si="2"/>
        <v>0</v>
      </c>
      <c r="R27" s="135">
        <f t="shared" ca="1" si="9"/>
        <v>0</v>
      </c>
      <c r="S27" s="72">
        <f t="shared" ca="1" si="3"/>
        <v>0</v>
      </c>
      <c r="T27" s="72">
        <f t="shared" ca="1" si="4"/>
        <v>0</v>
      </c>
      <c r="U27" s="72">
        <f t="shared" ca="1" si="5"/>
        <v>0</v>
      </c>
      <c r="V27" s="82">
        <f t="shared" ca="1" si="6"/>
        <v>0</v>
      </c>
      <c r="Y27" s="4">
        <f t="shared" ca="1" si="10"/>
        <v>1.0577616466801574</v>
      </c>
      <c r="Z27" s="292">
        <f t="shared" ca="1" si="7"/>
        <v>1.215741396389205</v>
      </c>
      <c r="AA27" s="284">
        <f t="shared" ca="1" si="11"/>
        <v>0</v>
      </c>
      <c r="AB27" s="17"/>
      <c r="AD27" s="148"/>
      <c r="AE27" s="148" t="s">
        <v>253</v>
      </c>
      <c r="AF27" s="486" t="str">
        <f ca="1">IFERROR(LOOKUP($C$4,#REF!,#REF!)/1000,"n.a.")</f>
        <v>n.a.</v>
      </c>
      <c r="AG27" s="148"/>
      <c r="AH27" s="148"/>
      <c r="AO27" s="276"/>
      <c r="AQ27" s="280"/>
      <c r="AS27" s="41"/>
      <c r="AT27" s="41"/>
    </row>
    <row r="28" spans="2:46">
      <c r="B28" s="261" t="s">
        <v>300</v>
      </c>
      <c r="C28" s="449">
        <f ca="1">LOOKUP($C$4,Tariff_SimCalculation!$O$9:$Q$9,Tariff_SimCalculation!$O$13:$Q$13)</f>
        <v>0.25</v>
      </c>
      <c r="E28" s="445"/>
      <c r="F28" s="445"/>
      <c r="G28" s="445"/>
      <c r="H28" s="446"/>
      <c r="I28" s="446"/>
      <c r="K28" s="99" t="s">
        <v>30</v>
      </c>
      <c r="L28" s="100" t="s">
        <v>31</v>
      </c>
      <c r="M28" s="100" t="s">
        <v>25</v>
      </c>
      <c r="N28" s="133">
        <f t="shared" ca="1" si="8"/>
        <v>1.0740053140783503</v>
      </c>
      <c r="O28" s="101">
        <f t="shared" si="0"/>
        <v>0.44</v>
      </c>
      <c r="P28" s="139">
        <f ca="1">IFERROR(+N28/O28-1,"")</f>
        <v>1.4409211683598873</v>
      </c>
      <c r="Q28" s="102">
        <f t="shared" ca="1" si="2"/>
        <v>7259625.5002553957</v>
      </c>
      <c r="R28" s="136">
        <f t="shared" ca="1" si="9"/>
        <v>7796.876365492998</v>
      </c>
      <c r="S28" s="102">
        <f t="shared" ca="1" si="3"/>
        <v>7574726.750383094</v>
      </c>
      <c r="T28" s="102">
        <f t="shared" ca="1" si="4"/>
        <v>315101.25012769829</v>
      </c>
      <c r="U28" s="102">
        <f t="shared" ca="1" si="5"/>
        <v>8135.2967826028762</v>
      </c>
      <c r="V28" s="103">
        <f t="shared" ca="1" si="6"/>
        <v>338.42041710987814</v>
      </c>
      <c r="X28" s="49"/>
      <c r="Y28" s="336">
        <f t="shared" ca="1" si="10"/>
        <v>0.52747545807542395</v>
      </c>
      <c r="Z28" s="293">
        <f t="shared" ca="1" si="7"/>
        <v>0.60625543757832789</v>
      </c>
      <c r="AA28" s="285">
        <f t="shared" ca="1" si="11"/>
        <v>-166.20817625124639</v>
      </c>
      <c r="AB28" s="17"/>
      <c r="AD28" s="148"/>
      <c r="AE28" s="148"/>
      <c r="AF28" s="478"/>
      <c r="AG28" s="148"/>
      <c r="AH28" s="148"/>
      <c r="AO28" s="276"/>
      <c r="AQ28" s="280"/>
      <c r="AS28" s="41"/>
      <c r="AT28" s="41"/>
    </row>
    <row r="29" spans="2:46">
      <c r="E29" s="445"/>
      <c r="F29" s="445"/>
      <c r="G29" s="445"/>
      <c r="H29" s="446"/>
      <c r="I29" s="446"/>
      <c r="K29" s="119" t="s">
        <v>58</v>
      </c>
      <c r="L29" s="124"/>
      <c r="M29" s="125"/>
      <c r="N29" s="125"/>
      <c r="O29" s="125"/>
      <c r="P29" s="125"/>
      <c r="Q29" s="122">
        <f t="shared" ref="Q29:V29" ca="1" si="12">SUM(Q7:Q28)</f>
        <v>109886563.74396726</v>
      </c>
      <c r="R29" s="131">
        <f ca="1">SUM(R7:R28)</f>
        <v>194668.36269255276</v>
      </c>
      <c r="S29" s="122">
        <f t="shared" ca="1" si="12"/>
        <v>113307823.64901528</v>
      </c>
      <c r="T29" s="122">
        <f t="shared" ca="1" si="12"/>
        <v>3421259.9050480286</v>
      </c>
      <c r="U29" s="131">
        <f ca="1">SUM(U7:U28)</f>
        <v>198639.70457016461</v>
      </c>
      <c r="V29" s="123">
        <f t="shared" ca="1" si="12"/>
        <v>3971.3418776118506</v>
      </c>
      <c r="X29" s="283">
        <f ca="1">R29*1000/Q29</f>
        <v>1.7715392679502184</v>
      </c>
      <c r="Y29" s="283">
        <f ca="1">IF(R30&gt;0,R30*1000/Q29,0)</f>
        <v>0.87005480756166309</v>
      </c>
      <c r="AA29" s="503">
        <f ca="1">MAX(0,SUM(AA7:AA28))</f>
        <v>0</v>
      </c>
      <c r="AB29" s="289" t="s">
        <v>59</v>
      </c>
      <c r="AD29" s="148"/>
      <c r="AE29" s="148"/>
      <c r="AF29" s="148"/>
      <c r="AG29" s="148"/>
      <c r="AH29" s="148"/>
      <c r="AP29" s="257"/>
      <c r="AQ29" s="257"/>
      <c r="AR29" s="284"/>
      <c r="AS29" s="41"/>
      <c r="AT29" s="41"/>
    </row>
    <row r="30" spans="2:46">
      <c r="E30" s="445"/>
      <c r="F30" s="445"/>
      <c r="G30" s="445"/>
      <c r="H30" s="446"/>
      <c r="I30" s="446"/>
      <c r="K30" s="80"/>
      <c r="L30" s="69"/>
      <c r="M30" s="71"/>
      <c r="N30" s="71"/>
      <c r="O30" s="71"/>
      <c r="P30" s="71"/>
      <c r="Q30" s="126" t="s">
        <v>105</v>
      </c>
      <c r="R30" s="74">
        <f ca="1">R29-(costs_GCA_capa)/1000</f>
        <v>95607.333071869871</v>
      </c>
      <c r="T30" s="482" t="s">
        <v>325</v>
      </c>
      <c r="U30" s="483">
        <f ca="1">U29+R31</f>
        <v>103032.37149829474</v>
      </c>
      <c r="V30" s="481"/>
      <c r="Z30" s="43" t="s">
        <v>120</v>
      </c>
      <c r="AA30" s="288">
        <f ca="1">U30+AA29</f>
        <v>103032.37149829474</v>
      </c>
      <c r="AB30" s="289" t="s">
        <v>59</v>
      </c>
      <c r="AD30" s="148"/>
      <c r="AE30" s="476" t="s">
        <v>254</v>
      </c>
      <c r="AF30" s="478">
        <f ca="1">LOOKUP($C$4,Tariff_SimCalculation!$O$9:$Q$9,Tariff_SimCalculation!$O$29:$Q$29)/1000</f>
        <v>7.3941838931775168</v>
      </c>
      <c r="AG30" s="148"/>
      <c r="AH30" s="148"/>
      <c r="AQ30" s="280"/>
      <c r="AS30" s="41"/>
      <c r="AT30" s="41"/>
    </row>
    <row r="31" spans="2:46">
      <c r="E31" s="445"/>
      <c r="F31" s="445"/>
      <c r="G31" s="445"/>
      <c r="H31" s="446"/>
      <c r="I31" s="446"/>
      <c r="K31" s="80"/>
      <c r="L31" s="69"/>
      <c r="M31" s="71"/>
      <c r="N31" s="71"/>
      <c r="O31" s="71"/>
      <c r="P31" s="71"/>
      <c r="Q31" s="126" t="s">
        <v>117</v>
      </c>
      <c r="R31" s="74">
        <f ca="1">R3-R29</f>
        <v>-95607.333071869871</v>
      </c>
      <c r="T31" s="479" t="s">
        <v>326</v>
      </c>
      <c r="U31" s="334">
        <f ca="1">U30+AA29</f>
        <v>103032.37149829474</v>
      </c>
      <c r="V31" s="334">
        <f ca="1">-R3+AA30</f>
        <v>3971.3418776118488</v>
      </c>
      <c r="Z31" s="1" t="s">
        <v>324</v>
      </c>
      <c r="AA31" s="53">
        <f ca="1">U29</f>
        <v>198639.70457016461</v>
      </c>
      <c r="AB31" s="289" t="s">
        <v>59</v>
      </c>
      <c r="AD31" s="148"/>
      <c r="AE31" s="476" t="s">
        <v>309</v>
      </c>
      <c r="AF31" s="478">
        <f ca="1">AF30</f>
        <v>7.3941838931775168</v>
      </c>
      <c r="AG31" s="148"/>
      <c r="AH31" s="148"/>
      <c r="AQ31" s="280"/>
      <c r="AS31" s="41"/>
      <c r="AT31" s="41"/>
    </row>
    <row r="32" spans="2:46" ht="15.75" thickBot="1">
      <c r="E32" s="445"/>
      <c r="F32" s="445"/>
      <c r="G32" s="445"/>
      <c r="H32" s="446"/>
      <c r="I32" s="446"/>
      <c r="K32" s="80"/>
      <c r="L32" s="69"/>
      <c r="M32" s="71"/>
      <c r="N32" s="71"/>
      <c r="O32" s="71"/>
      <c r="P32" s="71"/>
      <c r="Q32" s="71"/>
      <c r="R32" s="75"/>
      <c r="V32" s="84"/>
      <c r="Z32" s="171" t="s">
        <v>204</v>
      </c>
      <c r="AA32" s="502">
        <f ca="1">MAX(-R30+AA29,R31)</f>
        <v>-95607.333071869871</v>
      </c>
      <c r="AB32" s="289" t="s">
        <v>59</v>
      </c>
      <c r="AD32" s="148"/>
      <c r="AE32" s="58"/>
      <c r="AF32" s="148"/>
      <c r="AG32" s="148"/>
      <c r="AH32" s="148"/>
      <c r="AQ32" s="280"/>
      <c r="AS32" s="41"/>
      <c r="AT32" s="41"/>
    </row>
    <row r="33" spans="1:48">
      <c r="E33" s="445"/>
      <c r="F33" s="445"/>
      <c r="G33" s="445"/>
      <c r="H33" s="446"/>
      <c r="I33" s="446"/>
      <c r="K33" s="91" t="s">
        <v>13</v>
      </c>
      <c r="L33" s="92"/>
      <c r="M33" s="93"/>
      <c r="N33" s="94"/>
      <c r="O33" s="94"/>
      <c r="P33" s="95"/>
      <c r="Q33" s="150" t="s">
        <v>89</v>
      </c>
      <c r="R33" s="96">
        <f ca="1">costs_TAG_capa/1000</f>
        <v>167539.670149454</v>
      </c>
      <c r="S33" s="97"/>
      <c r="T33" s="96"/>
      <c r="U33" s="93"/>
      <c r="V33" s="98"/>
      <c r="W33" s="3"/>
      <c r="AD33" s="148"/>
      <c r="AE33" s="58" t="s">
        <v>304</v>
      </c>
      <c r="AF33" s="462">
        <f ca="1">LOOKUP($C$4,Tariff_SimCalculation!$O$9:$Q$9,Tariff_SimCalculation!$O$19:$Q$19)/1000</f>
        <v>17.159046999999997</v>
      </c>
      <c r="AG33" s="148"/>
      <c r="AH33" s="148"/>
      <c r="AQ33" s="280"/>
      <c r="AS33" s="41"/>
      <c r="AT33" s="41"/>
    </row>
    <row r="34" spans="1:48">
      <c r="E34" s="445"/>
      <c r="F34" s="445"/>
      <c r="G34" s="445"/>
      <c r="H34" s="446"/>
      <c r="I34" s="446"/>
      <c r="K34" s="116"/>
      <c r="L34" s="117"/>
      <c r="M34" s="118"/>
      <c r="N34" s="107" t="s">
        <v>60</v>
      </c>
      <c r="O34" s="107" t="s">
        <v>60</v>
      </c>
      <c r="P34" s="137"/>
      <c r="Q34" s="108" t="s">
        <v>38</v>
      </c>
      <c r="R34" s="134" t="s">
        <v>59</v>
      </c>
      <c r="S34" s="108" t="s">
        <v>38</v>
      </c>
      <c r="T34" s="108" t="s">
        <v>38</v>
      </c>
      <c r="U34" s="109" t="s">
        <v>59</v>
      </c>
      <c r="V34" s="110" t="s">
        <v>59</v>
      </c>
      <c r="W34" s="8"/>
      <c r="X34" s="287" t="s">
        <v>60</v>
      </c>
      <c r="Y34" s="287" t="s">
        <v>60</v>
      </c>
      <c r="Z34" s="287"/>
      <c r="AA34" s="287" t="s">
        <v>59</v>
      </c>
      <c r="AD34" s="148"/>
      <c r="AE34" s="58" t="s">
        <v>305</v>
      </c>
      <c r="AF34" s="462">
        <f ca="1">LOOKUP($C$4,Tariff_SimCalculation!$O$9:$Q$9,Tariff_SimCalculation!$O$20:$Q$20)/1000</f>
        <v>15.992899999999999</v>
      </c>
      <c r="AG34" s="148"/>
      <c r="AH34" s="148"/>
      <c r="AQ34" s="280"/>
      <c r="AS34" s="41"/>
      <c r="AT34" s="41"/>
    </row>
    <row r="35" spans="1:48">
      <c r="E35" s="445"/>
      <c r="F35" s="445"/>
      <c r="G35" s="445"/>
      <c r="H35" s="446"/>
      <c r="I35" s="446"/>
      <c r="K35" s="116"/>
      <c r="L35" s="117"/>
      <c r="M35" s="118"/>
      <c r="N35" s="111" t="s">
        <v>61</v>
      </c>
      <c r="O35" s="111" t="s">
        <v>119</v>
      </c>
      <c r="P35" s="127" t="s">
        <v>87</v>
      </c>
      <c r="Q35" s="111" t="s">
        <v>113</v>
      </c>
      <c r="R35" s="127" t="s">
        <v>116</v>
      </c>
      <c r="S35" s="111" t="s">
        <v>256</v>
      </c>
      <c r="T35" s="111" t="s">
        <v>256</v>
      </c>
      <c r="U35" s="111" t="s">
        <v>256</v>
      </c>
      <c r="V35" s="112" t="s">
        <v>256</v>
      </c>
      <c r="W35" s="70"/>
      <c r="X35" s="286" t="s">
        <v>13</v>
      </c>
      <c r="Y35" s="286" t="s">
        <v>180</v>
      </c>
      <c r="Z35" s="286" t="s">
        <v>182</v>
      </c>
      <c r="AA35" s="286" t="s">
        <v>176</v>
      </c>
      <c r="AB35" s="17"/>
      <c r="AD35" s="148"/>
      <c r="AE35" s="58" t="s">
        <v>306</v>
      </c>
      <c r="AF35" s="462">
        <f ca="1">LOOKUP($C$4,Tariff_SimCalculation!$O$9:$Q$9,Tariff_SimCalculation!$O$46:$Q$46)/1000</f>
        <v>24.553230893177513</v>
      </c>
      <c r="AG35" s="148"/>
      <c r="AH35" s="148"/>
      <c r="AQ35" s="280"/>
      <c r="AS35" s="41"/>
      <c r="AT35" s="41"/>
    </row>
    <row r="36" spans="1:48">
      <c r="E36" s="445"/>
      <c r="F36" s="445"/>
      <c r="G36" s="445"/>
      <c r="H36" s="446"/>
      <c r="I36" s="446"/>
      <c r="K36" s="129" t="s">
        <v>121</v>
      </c>
      <c r="L36" s="113" t="s">
        <v>28</v>
      </c>
      <c r="M36" s="130" t="s">
        <v>29</v>
      </c>
      <c r="N36" s="113" t="s">
        <v>88</v>
      </c>
      <c r="O36" s="113" t="s">
        <v>327</v>
      </c>
      <c r="P36" s="128" t="s">
        <v>86</v>
      </c>
      <c r="Q36" s="113" t="s">
        <v>62</v>
      </c>
      <c r="R36" s="128" t="s">
        <v>115</v>
      </c>
      <c r="S36" s="113" t="s">
        <v>114</v>
      </c>
      <c r="T36" s="113" t="s">
        <v>118</v>
      </c>
      <c r="U36" s="114" t="s">
        <v>115</v>
      </c>
      <c r="V36" s="115" t="s">
        <v>118</v>
      </c>
      <c r="W36" s="70"/>
      <c r="X36" s="282" t="s">
        <v>178</v>
      </c>
      <c r="Y36" s="282" t="s">
        <v>179</v>
      </c>
      <c r="Z36" s="282" t="s">
        <v>181</v>
      </c>
      <c r="AA36" s="48" t="s">
        <v>177</v>
      </c>
      <c r="AB36" s="17"/>
      <c r="AD36" s="148"/>
      <c r="AE36" s="58" t="s">
        <v>307</v>
      </c>
      <c r="AF36" s="462">
        <f ca="1">LOOKUP($C$4,Tariff_SimCalculation!$O$9:$Q$9,Tariff_SimCalculation!$O$47:$Q$47)/1000</f>
        <v>8.5987161068224864</v>
      </c>
      <c r="AG36" s="148"/>
      <c r="AH36" s="148"/>
      <c r="AQ36" s="280"/>
      <c r="AS36" s="41"/>
      <c r="AT36" s="41"/>
    </row>
    <row r="37" spans="1:48">
      <c r="E37" s="445"/>
      <c r="F37" s="445"/>
      <c r="G37" s="445"/>
      <c r="H37" s="446"/>
      <c r="I37" s="446"/>
      <c r="K37" s="81" t="s">
        <v>21</v>
      </c>
      <c r="L37" s="68" t="s">
        <v>31</v>
      </c>
      <c r="M37" s="68" t="s">
        <v>22</v>
      </c>
      <c r="N37" s="133">
        <f t="shared" ref="N37:N42" ca="1" si="13">J75</f>
        <v>1.372598089052816</v>
      </c>
      <c r="O37" s="76">
        <f t="shared" ref="O37:O42" si="14">I75</f>
        <v>0.84700000000000009</v>
      </c>
      <c r="P37" s="138">
        <f t="shared" ref="P37:P42" ca="1" si="15">IFERROR(+N37/O37-1,0)</f>
        <v>0.62054083713437524</v>
      </c>
      <c r="Q37" s="72">
        <f t="shared" ref="Q37:Q42" ca="1" si="16">G75</f>
        <v>9211831.2526531722</v>
      </c>
      <c r="R37" s="135">
        <f t="shared" ref="R37:R42" ca="1" si="17">N37*Q37/1000</f>
        <v>12644.141974068752</v>
      </c>
      <c r="S37" s="72">
        <f t="shared" ref="S37:S42" ca="1" si="18">H75</f>
        <v>9697898.3789797593</v>
      </c>
      <c r="T37" s="72">
        <f t="shared" ref="T37:T42" ca="1" si="19">S37-Q37</f>
        <v>486067.12632658705</v>
      </c>
      <c r="U37" s="72">
        <f t="shared" ref="U37:U42" ca="1" si="20">N37*S37/1000</f>
        <v>13311.316782816019</v>
      </c>
      <c r="V37" s="82">
        <f t="shared" ref="V37:V42" ca="1" si="21">U37-R37</f>
        <v>667.17480874726607</v>
      </c>
      <c r="Z37" s="292">
        <f t="shared" ref="Z37:Z42" ca="1" si="22">N37/$X$43</f>
        <v>0.55714698743401536</v>
      </c>
      <c r="AA37" s="284">
        <f t="shared" ref="AA37:AA42" ca="1" si="23">-Z37*T37*$Y$43/1000</f>
        <v>0</v>
      </c>
      <c r="AB37" s="41"/>
      <c r="AD37" s="148"/>
      <c r="AE37" s="58" t="s">
        <v>308</v>
      </c>
      <c r="AF37" s="463">
        <f ca="1">+AF30</f>
        <v>7.3941838931775168</v>
      </c>
      <c r="AG37" s="148"/>
      <c r="AH37" s="148"/>
      <c r="AO37" s="41"/>
      <c r="AQ37" s="280"/>
      <c r="AS37" s="41"/>
      <c r="AT37" s="41"/>
    </row>
    <row r="38" spans="1:48">
      <c r="E38" s="445"/>
      <c r="F38" s="445"/>
      <c r="G38" s="445"/>
      <c r="H38" s="446"/>
      <c r="I38" s="446"/>
      <c r="K38" s="81" t="s">
        <v>21</v>
      </c>
      <c r="L38" s="68" t="s">
        <v>31</v>
      </c>
      <c r="M38" s="68" t="s">
        <v>20</v>
      </c>
      <c r="N38" s="133">
        <f t="shared" ca="1" si="13"/>
        <v>1.372598089052816</v>
      </c>
      <c r="O38" s="76">
        <f t="shared" si="14"/>
        <v>0.97</v>
      </c>
      <c r="P38" s="138">
        <f t="shared" ca="1" si="15"/>
        <v>0.41504957634310924</v>
      </c>
      <c r="Q38" s="72">
        <f t="shared" ca="1" si="16"/>
        <v>8746377.1931971237</v>
      </c>
      <c r="R38" s="135">
        <f t="shared" ca="1" si="17"/>
        <v>12005.260621517504</v>
      </c>
      <c r="S38" s="72">
        <f t="shared" ca="1" si="18"/>
        <v>9181042.8058602996</v>
      </c>
      <c r="T38" s="72">
        <f t="shared" ca="1" si="19"/>
        <v>434665.61266317591</v>
      </c>
      <c r="U38" s="72">
        <f t="shared" ca="1" si="20"/>
        <v>12601.881810835952</v>
      </c>
      <c r="V38" s="82">
        <f t="shared" ca="1" si="21"/>
        <v>596.62118931844816</v>
      </c>
      <c r="W38" s="140"/>
      <c r="Z38" s="292">
        <f t="shared" ca="1" si="22"/>
        <v>0.55714698743401536</v>
      </c>
      <c r="AA38" s="284">
        <f t="shared" ca="1" si="23"/>
        <v>0</v>
      </c>
      <c r="AB38" s="41"/>
      <c r="AD38" s="148"/>
      <c r="AE38" s="58" t="s">
        <v>309</v>
      </c>
      <c r="AF38" s="463">
        <f ca="1">+AF31</f>
        <v>7.3941838931775168</v>
      </c>
      <c r="AG38" s="148"/>
      <c r="AH38" s="148"/>
      <c r="AO38" s="41"/>
      <c r="AQ38" s="280"/>
      <c r="AS38" s="41"/>
      <c r="AT38" s="41"/>
    </row>
    <row r="39" spans="1:48">
      <c r="K39" s="83" t="s">
        <v>30</v>
      </c>
      <c r="L39" s="68" t="s">
        <v>31</v>
      </c>
      <c r="M39" s="68" t="s">
        <v>20</v>
      </c>
      <c r="N39" s="133">
        <f t="shared" ca="1" si="13"/>
        <v>5.9796699217300029</v>
      </c>
      <c r="O39" s="76">
        <f t="shared" si="14"/>
        <v>4.3499999999999996</v>
      </c>
      <c r="P39" s="138">
        <f t="shared" ca="1" si="15"/>
        <v>0.37463676361609277</v>
      </c>
      <c r="Q39" s="72">
        <f t="shared" ca="1" si="16"/>
        <v>6683747</v>
      </c>
      <c r="R39" s="135">
        <f t="shared" ca="1" si="17"/>
        <v>39966.600900353144</v>
      </c>
      <c r="S39" s="72">
        <f t="shared" ca="1" si="18"/>
        <v>6683747</v>
      </c>
      <c r="T39" s="72">
        <f t="shared" ca="1" si="19"/>
        <v>0</v>
      </c>
      <c r="U39" s="72">
        <f t="shared" ca="1" si="20"/>
        <v>39966.600900353144</v>
      </c>
      <c r="V39" s="82">
        <f t="shared" ca="1" si="21"/>
        <v>0</v>
      </c>
      <c r="W39" s="140"/>
      <c r="Z39" s="292">
        <f t="shared" ca="1" si="22"/>
        <v>2.4271890725424661</v>
      </c>
      <c r="AA39" s="284">
        <f t="shared" ca="1" si="23"/>
        <v>0</v>
      </c>
      <c r="AB39" s="41"/>
      <c r="AD39" s="148"/>
      <c r="AE39" s="58" t="s">
        <v>313</v>
      </c>
      <c r="AF39" s="463">
        <f ca="1">+AF35</f>
        <v>24.553230893177513</v>
      </c>
      <c r="AG39" s="148"/>
      <c r="AH39" s="148"/>
      <c r="AO39" s="41"/>
      <c r="AQ39" s="280"/>
      <c r="AS39" s="41"/>
      <c r="AT39" s="41"/>
    </row>
    <row r="40" spans="1:48">
      <c r="E40" s="144" t="s">
        <v>317</v>
      </c>
      <c r="F40" s="465"/>
      <c r="G40" s="466" t="b">
        <f ca="1">IFERROR(AND(ABS(R29+R43-(costs_GCA_capa+costs_TAG_capa)/1000)&lt;10),FALSE)</f>
        <v>1</v>
      </c>
      <c r="H40"/>
      <c r="I40"/>
      <c r="J40" s="437"/>
      <c r="K40" s="83" t="s">
        <v>30</v>
      </c>
      <c r="L40" s="68" t="s">
        <v>31</v>
      </c>
      <c r="M40" s="68" t="s">
        <v>35</v>
      </c>
      <c r="N40" s="133">
        <f t="shared" ca="1" si="13"/>
        <v>1.26</v>
      </c>
      <c r="O40" s="76">
        <f t="shared" si="14"/>
        <v>0.42</v>
      </c>
      <c r="P40" s="138">
        <f t="shared" ca="1" si="15"/>
        <v>2</v>
      </c>
      <c r="Q40" s="72">
        <f t="shared" ca="1" si="16"/>
        <v>3562671.9999999963</v>
      </c>
      <c r="R40" s="135">
        <f t="shared" ca="1" si="17"/>
        <v>4488.9667199999949</v>
      </c>
      <c r="S40" s="72">
        <f t="shared" ca="1" si="18"/>
        <v>3562671.9999999963</v>
      </c>
      <c r="T40" s="72">
        <f t="shared" ca="1" si="19"/>
        <v>0</v>
      </c>
      <c r="U40" s="72">
        <f t="shared" ca="1" si="20"/>
        <v>4488.9667199999949</v>
      </c>
      <c r="V40" s="82">
        <f t="shared" ca="1" si="21"/>
        <v>0</v>
      </c>
      <c r="Z40" s="292">
        <f t="shared" ca="1" si="22"/>
        <v>0.51144265008505851</v>
      </c>
      <c r="AA40" s="284">
        <f t="shared" ca="1" si="23"/>
        <v>0</v>
      </c>
      <c r="AB40" s="41"/>
      <c r="AD40" s="148"/>
      <c r="AE40" s="58" t="s">
        <v>314</v>
      </c>
      <c r="AF40" s="463">
        <f ca="1">+AF36</f>
        <v>8.5987161068224864</v>
      </c>
      <c r="AG40" s="148"/>
      <c r="AH40" s="148"/>
      <c r="AO40" s="41"/>
      <c r="AQ40" s="280"/>
      <c r="AS40" s="41"/>
      <c r="AT40" s="41"/>
    </row>
    <row r="41" spans="1:48">
      <c r="D41" s="232"/>
      <c r="E41" s="1"/>
      <c r="H41"/>
      <c r="I41"/>
      <c r="J41" s="4"/>
      <c r="K41" s="83" t="s">
        <v>30</v>
      </c>
      <c r="L41" s="68" t="s">
        <v>31</v>
      </c>
      <c r="M41" s="68" t="s">
        <v>36</v>
      </c>
      <c r="N41" s="133">
        <f t="shared" ca="1" si="13"/>
        <v>4.626999160188296</v>
      </c>
      <c r="O41" s="76">
        <f t="shared" si="14"/>
        <v>3.85</v>
      </c>
      <c r="P41" s="138">
        <f t="shared" ca="1" si="15"/>
        <v>0.20181796368527172</v>
      </c>
      <c r="Q41" s="72">
        <f t="shared" ca="1" si="16"/>
        <v>471870.99999999959</v>
      </c>
      <c r="R41" s="135">
        <f t="shared" ca="1" si="17"/>
        <v>2183.3467207172093</v>
      </c>
      <c r="S41" s="72">
        <f t="shared" ca="1" si="18"/>
        <v>471870.99999999959</v>
      </c>
      <c r="T41" s="72">
        <f t="shared" ca="1" si="19"/>
        <v>0</v>
      </c>
      <c r="U41" s="72">
        <f t="shared" ca="1" si="20"/>
        <v>2183.3467207172093</v>
      </c>
      <c r="V41" s="82">
        <f t="shared" ca="1" si="21"/>
        <v>0</v>
      </c>
      <c r="Z41" s="292">
        <f t="shared" ca="1" si="22"/>
        <v>1.87813072414924</v>
      </c>
      <c r="AA41" s="284">
        <f t="shared" ca="1" si="23"/>
        <v>0</v>
      </c>
      <c r="AB41" s="41"/>
      <c r="AD41" s="148"/>
      <c r="AE41" s="58" t="s">
        <v>310</v>
      </c>
      <c r="AF41" s="463">
        <f ca="1">AF39-AF38</f>
        <v>17.159046999999997</v>
      </c>
      <c r="AG41" s="148"/>
      <c r="AH41" s="148"/>
      <c r="AO41" s="41"/>
      <c r="AQ41" s="280"/>
      <c r="AS41" s="41"/>
      <c r="AT41" s="41"/>
    </row>
    <row r="42" spans="1:48">
      <c r="H42"/>
      <c r="I42"/>
      <c r="J42" s="5"/>
      <c r="K42" s="484" t="s">
        <v>21</v>
      </c>
      <c r="L42" s="485" t="s">
        <v>32</v>
      </c>
      <c r="M42" s="100" t="s">
        <v>20</v>
      </c>
      <c r="N42" s="133">
        <f t="shared" ca="1" si="13"/>
        <v>1.2353382801475343</v>
      </c>
      <c r="O42" s="101">
        <f t="shared" si="14"/>
        <v>0.68</v>
      </c>
      <c r="P42" s="139">
        <f t="shared" ca="1" si="15"/>
        <v>0.81667394139343275</v>
      </c>
      <c r="Q42" s="102">
        <f t="shared" ca="1" si="16"/>
        <v>521331</v>
      </c>
      <c r="R42" s="136">
        <f t="shared" ca="1" si="17"/>
        <v>644.0201409275943</v>
      </c>
      <c r="S42" s="141">
        <f t="shared" ca="1" si="18"/>
        <v>521331</v>
      </c>
      <c r="T42" s="102">
        <f t="shared" ca="1" si="19"/>
        <v>0</v>
      </c>
      <c r="U42" s="102">
        <f t="shared" ca="1" si="20"/>
        <v>644.0201409275943</v>
      </c>
      <c r="V42" s="103">
        <f t="shared" ca="1" si="21"/>
        <v>0</v>
      </c>
      <c r="W42" s="480" t="s">
        <v>323</v>
      </c>
      <c r="X42" s="49"/>
      <c r="Y42" s="49"/>
      <c r="Z42" s="293">
        <f t="shared" ca="1" si="22"/>
        <v>0.50143228869061374</v>
      </c>
      <c r="AA42" s="285">
        <f t="shared" ca="1" si="23"/>
        <v>0</v>
      </c>
      <c r="AD42" s="148"/>
      <c r="AE42" s="58" t="s">
        <v>311</v>
      </c>
      <c r="AF42" s="463">
        <f ca="1">AF40+AF38</f>
        <v>15.992900000000002</v>
      </c>
      <c r="AG42" s="148"/>
      <c r="AH42" s="148"/>
      <c r="AQ42" s="280"/>
      <c r="AS42" s="41"/>
      <c r="AT42" s="41"/>
    </row>
    <row r="43" spans="1:48">
      <c r="H43"/>
      <c r="I43"/>
      <c r="K43" s="119" t="s">
        <v>58</v>
      </c>
      <c r="L43" s="120"/>
      <c r="M43" s="121"/>
      <c r="N43" s="121"/>
      <c r="O43" s="121"/>
      <c r="P43" s="121"/>
      <c r="Q43" s="122">
        <f t="shared" ref="Q43:V43" ca="1" si="24">SUM(Q37:Q42)</f>
        <v>29197829.445850294</v>
      </c>
      <c r="R43" s="131">
        <f ca="1">SUM(R37:R42)</f>
        <v>71932.33707758419</v>
      </c>
      <c r="S43" s="122">
        <f t="shared" ca="1" si="24"/>
        <v>30118562.184840057</v>
      </c>
      <c r="T43" s="122">
        <f t="shared" ca="1" si="24"/>
        <v>920732.73898976296</v>
      </c>
      <c r="U43" s="131">
        <f t="shared" ca="1" si="24"/>
        <v>73196.133075649908</v>
      </c>
      <c r="V43" s="123">
        <f t="shared" ca="1" si="24"/>
        <v>1263.7959980657142</v>
      </c>
      <c r="W43" s="480">
        <f ca="1">V29+V43</f>
        <v>5235.1378756775648</v>
      </c>
      <c r="X43" s="283">
        <f ca="1">R43*1000/Q43</f>
        <v>2.463619332080436</v>
      </c>
      <c r="Y43" s="283">
        <f ca="1">IF(R44&gt;0,R44*1000/Q43,0)</f>
        <v>0</v>
      </c>
      <c r="AA43" s="290">
        <f ca="1">IF(Y43=0,-AA29,SUM(AA37:AA42))</f>
        <v>0</v>
      </c>
      <c r="AB43" s="289" t="s">
        <v>59</v>
      </c>
      <c r="AD43" s="148"/>
      <c r="AE43" s="58" t="s">
        <v>312</v>
      </c>
      <c r="AF43" s="463">
        <f ca="1">AF38-AF37</f>
        <v>0</v>
      </c>
      <c r="AG43" s="148"/>
      <c r="AH43" s="148"/>
      <c r="AQ43" s="442"/>
      <c r="AR43" s="284"/>
      <c r="AS43" s="41"/>
      <c r="AT43" s="41"/>
    </row>
    <row r="44" spans="1:48">
      <c r="H44"/>
      <c r="I44"/>
      <c r="K44" s="80"/>
      <c r="L44" s="77"/>
      <c r="M44" s="78"/>
      <c r="N44" s="78"/>
      <c r="O44" s="78"/>
      <c r="P44" s="78"/>
      <c r="Q44" s="126" t="s">
        <v>105</v>
      </c>
      <c r="R44" s="74">
        <f ca="1">R43-(costs_TAG_capa)/1000</f>
        <v>-95607.333071869813</v>
      </c>
      <c r="S44" s="78"/>
      <c r="T44" s="482" t="s">
        <v>325</v>
      </c>
      <c r="U44" s="483">
        <f ca="1">U43+R45</f>
        <v>168803.46614751971</v>
      </c>
      <c r="V44" s="481"/>
      <c r="W44" s="13"/>
      <c r="Z44" s="43" t="s">
        <v>120</v>
      </c>
      <c r="AA44" s="288">
        <f ca="1">U44+AA43</f>
        <v>168803.46614751971</v>
      </c>
      <c r="AB44" s="289" t="s">
        <v>59</v>
      </c>
      <c r="AD44" s="148"/>
      <c r="AE44" s="58" t="s">
        <v>315</v>
      </c>
      <c r="AF44" s="464">
        <f ca="1">AF41-AF33</f>
        <v>0</v>
      </c>
      <c r="AG44" s="148"/>
      <c r="AH44" s="148"/>
      <c r="AQ44" s="280"/>
      <c r="AS44" s="41"/>
      <c r="AT44" s="41"/>
    </row>
    <row r="45" spans="1:48">
      <c r="G45" s="1"/>
      <c r="H45" s="1"/>
      <c r="I45" s="1"/>
      <c r="K45" s="80"/>
      <c r="L45" s="77"/>
      <c r="M45" s="78"/>
      <c r="N45" s="78"/>
      <c r="O45" s="78"/>
      <c r="P45" s="78"/>
      <c r="Q45" s="126" t="s">
        <v>117</v>
      </c>
      <c r="R45" s="74">
        <f ca="1">R33-R43</f>
        <v>95607.333071869813</v>
      </c>
      <c r="S45" s="78"/>
      <c r="T45" s="479" t="s">
        <v>326</v>
      </c>
      <c r="U45" s="334">
        <f ca="1">U44+AA43</f>
        <v>168803.46614751971</v>
      </c>
      <c r="V45" s="334">
        <f ca="1">-R33+AA44</f>
        <v>1263.7959980657033</v>
      </c>
      <c r="W45" s="480">
        <f ca="1">V31+V45</f>
        <v>5235.1378756775521</v>
      </c>
      <c r="Z45" s="1" t="s">
        <v>324</v>
      </c>
      <c r="AA45" s="53">
        <f ca="1">U43</f>
        <v>73196.133075649908</v>
      </c>
      <c r="AB45" s="289" t="s">
        <v>59</v>
      </c>
      <c r="AD45" s="148"/>
      <c r="AE45" s="58" t="s">
        <v>316</v>
      </c>
      <c r="AF45" s="464">
        <f ca="1">AF42-AF34</f>
        <v>0</v>
      </c>
      <c r="AG45" s="148"/>
      <c r="AH45" s="148"/>
      <c r="AQ45" s="280"/>
      <c r="AS45" s="41"/>
      <c r="AT45" s="41"/>
    </row>
    <row r="46" spans="1:48" ht="15.75" thickBot="1">
      <c r="G46" s="1"/>
      <c r="H46" s="1"/>
      <c r="I46" s="1"/>
      <c r="K46" s="85"/>
      <c r="L46" s="89"/>
      <c r="M46" s="90"/>
      <c r="N46" s="90"/>
      <c r="O46" s="90"/>
      <c r="P46" s="90"/>
      <c r="Q46" s="90"/>
      <c r="R46" s="86"/>
      <c r="S46" s="87"/>
      <c r="T46" s="87"/>
      <c r="U46" s="87"/>
      <c r="V46" s="88"/>
      <c r="W46" s="480">
        <f ca="1">W43-W45</f>
        <v>1.2732925824820995E-11</v>
      </c>
      <c r="Z46" s="171" t="s">
        <v>204</v>
      </c>
      <c r="AA46" s="291">
        <f ca="1">-AA32</f>
        <v>95607.333071869871</v>
      </c>
      <c r="AB46" s="289" t="s">
        <v>59</v>
      </c>
      <c r="AD46" s="148"/>
      <c r="AE46" s="148"/>
      <c r="AF46" s="148"/>
      <c r="AG46" s="148"/>
      <c r="AH46" s="148"/>
      <c r="AQ46" s="280"/>
      <c r="AS46" s="41"/>
      <c r="AT46" s="41"/>
    </row>
    <row r="47" spans="1:48">
      <c r="E47" s="1"/>
      <c r="F47" s="1"/>
      <c r="G47" s="1"/>
      <c r="H47" s="1"/>
      <c r="I47" s="1"/>
      <c r="Z47" s="171"/>
      <c r="AA47" s="53"/>
      <c r="AB47" s="289"/>
    </row>
    <row r="48" spans="1:48" ht="18.75">
      <c r="A48" s="60" t="s">
        <v>318</v>
      </c>
      <c r="B48" s="60"/>
      <c r="C48" s="60"/>
      <c r="D48" s="60"/>
      <c r="E48" s="60"/>
      <c r="F48" s="60"/>
      <c r="G48" s="60"/>
      <c r="H48" s="61"/>
      <c r="I48" s="61"/>
      <c r="J48" s="60"/>
      <c r="K48" s="60"/>
      <c r="L48" s="60"/>
      <c r="M48" s="60"/>
      <c r="N48" s="60"/>
      <c r="O48" s="60"/>
      <c r="P48" s="60"/>
      <c r="Q48" s="60"/>
      <c r="R48" s="60"/>
      <c r="S48" s="60"/>
      <c r="T48" s="60"/>
      <c r="U48" s="60"/>
      <c r="V48" s="60"/>
      <c r="W48" s="60"/>
      <c r="X48" s="60"/>
      <c r="Y48" s="60"/>
      <c r="Z48" s="60"/>
      <c r="AA48" s="60"/>
      <c r="AB48" s="60"/>
      <c r="AC48" s="60"/>
      <c r="AD48" s="60"/>
      <c r="AE48" s="60"/>
      <c r="AF48" s="60"/>
      <c r="AG48" s="60"/>
      <c r="AH48" s="60"/>
      <c r="AI48" s="60"/>
      <c r="AJ48" s="60"/>
      <c r="AK48" s="60"/>
      <c r="AL48" s="60"/>
      <c r="AM48" s="60"/>
      <c r="AN48" s="60"/>
      <c r="AO48" s="60"/>
      <c r="AP48" s="60"/>
      <c r="AQ48" s="60"/>
      <c r="AR48" s="60"/>
      <c r="AS48" s="60"/>
      <c r="AT48" s="60"/>
      <c r="AU48" s="60"/>
      <c r="AV48" s="60"/>
    </row>
    <row r="49" spans="1:46">
      <c r="F49" s="58"/>
      <c r="G49" s="59"/>
      <c r="H49" s="59"/>
      <c r="I49" s="59"/>
      <c r="K49" s="3"/>
      <c r="R49" s="159"/>
      <c r="S49" s="155"/>
      <c r="T49" s="255"/>
      <c r="U49" s="158"/>
      <c r="V49" s="158"/>
      <c r="W49" s="255"/>
      <c r="X49" s="264"/>
      <c r="Y49" s="155"/>
      <c r="Z49" s="155"/>
      <c r="AA49" s="72"/>
      <c r="AD49" s="159"/>
      <c r="AE49" s="155"/>
      <c r="AF49" s="255"/>
      <c r="AG49" s="158"/>
      <c r="AH49" s="158"/>
      <c r="AI49" s="255"/>
      <c r="AJ49" s="264"/>
      <c r="AK49" s="155"/>
      <c r="AL49" s="155"/>
      <c r="AM49" s="72"/>
      <c r="AN49" s="17"/>
      <c r="AO49" s="17"/>
      <c r="AP49" s="438"/>
      <c r="AQ49" s="438"/>
      <c r="AR49" s="438"/>
      <c r="AS49" s="438"/>
    </row>
    <row r="50" spans="1:46">
      <c r="F50" s="58"/>
      <c r="G50" s="59"/>
      <c r="H50" s="59"/>
      <c r="I50" s="59"/>
      <c r="R50" s="155"/>
      <c r="S50" s="155"/>
      <c r="T50" s="255"/>
      <c r="U50" s="158"/>
      <c r="V50" s="158"/>
      <c r="W50" s="155"/>
      <c r="X50" s="158"/>
      <c r="Y50" s="158"/>
      <c r="Z50" s="155"/>
      <c r="AA50" s="17"/>
      <c r="AD50" s="155"/>
      <c r="AE50" s="155"/>
      <c r="AF50" s="255"/>
      <c r="AG50" s="158"/>
      <c r="AH50" s="158"/>
      <c r="AI50" s="155"/>
      <c r="AJ50" s="158"/>
      <c r="AK50" s="158"/>
      <c r="AL50" s="155"/>
      <c r="AM50" s="17"/>
      <c r="AN50" s="17"/>
      <c r="AO50" s="17"/>
      <c r="AP50" s="438"/>
      <c r="AQ50" s="438"/>
      <c r="AR50" s="438"/>
      <c r="AS50" s="438"/>
      <c r="AT50" s="155"/>
    </row>
    <row r="51" spans="1:46">
      <c r="G51" s="8" t="s">
        <v>63</v>
      </c>
      <c r="H51" s="44" t="s">
        <v>63</v>
      </c>
      <c r="I51" s="8" t="s">
        <v>57</v>
      </c>
      <c r="J51" s="8" t="s">
        <v>57</v>
      </c>
      <c r="N51" t="s">
        <v>335</v>
      </c>
      <c r="O51" s="498">
        <f>+Tariff_SimCalculation!O36</f>
        <v>2</v>
      </c>
      <c r="R51" s="155"/>
      <c r="S51" s="155"/>
      <c r="T51" s="155"/>
      <c r="U51" s="156"/>
      <c r="V51" s="156"/>
      <c r="W51" s="155"/>
      <c r="X51" s="166"/>
      <c r="Y51" s="166"/>
      <c r="Z51" s="166"/>
      <c r="AA51" s="17"/>
      <c r="AD51" s="155"/>
      <c r="AE51" s="155"/>
      <c r="AF51" s="155"/>
      <c r="AG51" s="156"/>
      <c r="AH51" s="156"/>
      <c r="AI51" s="155"/>
      <c r="AJ51" s="166"/>
      <c r="AK51" s="166"/>
      <c r="AL51" s="166"/>
      <c r="AM51" s="17"/>
      <c r="AN51" s="17"/>
      <c r="AO51" s="17"/>
      <c r="AR51" s="8"/>
      <c r="AS51" s="8"/>
      <c r="AT51" s="155"/>
    </row>
    <row r="52" spans="1:46" ht="30" customHeight="1">
      <c r="C52" s="48" t="s">
        <v>26</v>
      </c>
      <c r="D52" s="48" t="s">
        <v>27</v>
      </c>
      <c r="E52" s="48" t="s">
        <v>28</v>
      </c>
      <c r="F52" s="48" t="s">
        <v>29</v>
      </c>
      <c r="G52" s="45" t="s">
        <v>110</v>
      </c>
      <c r="H52" s="45" t="s">
        <v>251</v>
      </c>
      <c r="I52" s="45" t="s">
        <v>321</v>
      </c>
      <c r="J52" s="45" t="s">
        <v>112</v>
      </c>
      <c r="K52" s="499" t="s">
        <v>355</v>
      </c>
      <c r="L52" s="515" t="s">
        <v>354</v>
      </c>
      <c r="M52" s="499" t="s">
        <v>336</v>
      </c>
      <c r="N52" s="499" t="s">
        <v>330</v>
      </c>
      <c r="O52" s="499" t="s">
        <v>351</v>
      </c>
      <c r="P52" s="499" t="s">
        <v>346</v>
      </c>
      <c r="Q52" s="499" t="s">
        <v>347</v>
      </c>
      <c r="R52" s="499" t="s">
        <v>348</v>
      </c>
      <c r="S52" s="497"/>
      <c r="T52" s="155"/>
      <c r="U52" s="160"/>
      <c r="V52" s="160"/>
      <c r="W52" s="167"/>
      <c r="X52" s="158"/>
      <c r="Y52" s="158"/>
      <c r="Z52" s="158"/>
      <c r="AD52" s="160"/>
      <c r="AE52" s="155"/>
      <c r="AF52" s="155"/>
      <c r="AG52" s="160"/>
      <c r="AH52" s="160"/>
      <c r="AI52" s="167"/>
      <c r="AJ52" s="158"/>
      <c r="AK52" s="158"/>
      <c r="AL52" s="158"/>
      <c r="AP52" s="2"/>
      <c r="AQ52" s="2"/>
      <c r="AR52" s="7"/>
      <c r="AS52" s="7"/>
      <c r="AT52" s="155"/>
    </row>
    <row r="53" spans="1:46">
      <c r="C53" s="14" t="s">
        <v>0</v>
      </c>
      <c r="D53" t="s">
        <v>21</v>
      </c>
      <c r="E53" t="s">
        <v>31</v>
      </c>
      <c r="F53" t="s">
        <v>22</v>
      </c>
      <c r="G53" s="12">
        <f ca="1">OFFSET(Tariff_SimCalculation!O55,,$C$4-rpm_start_year)</f>
        <v>15458650.139332194</v>
      </c>
      <c r="H53" s="12">
        <f ca="1">OFFSET(Tariff_SimCalculation!R55,,$C$4-rpm_start_year)</f>
        <v>16087777.273133563</v>
      </c>
      <c r="I53" s="474">
        <v>0.84700000000000009</v>
      </c>
      <c r="J53" s="469">
        <f ca="1">R53</f>
        <v>1.372598089052816</v>
      </c>
      <c r="K53" s="511" t="str">
        <f>IF(N53=1,I53*(1+$O$51),"")</f>
        <v/>
      </c>
      <c r="L53" s="13"/>
      <c r="M53" s="4">
        <f ca="1">IF(D53="Entry",INDEX($AS$109:$AT$118,MATCH(F53,$D$109:$D$118,0),IF(E53="FZK",1,2)),INDEX($E$132:$AC$133,IF(E53="FZK",1,2),MATCH(F53,$E$108:$AC$108,0)))</f>
        <v>1.2777252245189243</v>
      </c>
      <c r="N53" s="62"/>
      <c r="O53" s="4">
        <f ca="1">IF(N53=1,MIN(M53,I53*(1+$O$51)),M53)</f>
        <v>1.2777252245189243</v>
      </c>
      <c r="P53" s="66">
        <f ca="1">IF(Tariff_SimCalculation!$W$3&lt;&gt;1,IF(AND($N53&lt;&gt;1,$D53="Exit"),O53*O$89,O53),IF($N53&lt;&gt;1,O53*O$90,O53))</f>
        <v>1.372598089052816</v>
      </c>
      <c r="Q53" s="4">
        <f ca="1">IF(Tariff_SimCalculation!$W$3&lt;&gt;1,IF(AND($N53&lt;&gt;1,$D53="Exit"),P53*P$89,P53),IF($N53&lt;&gt;1,P53*P$90,P53))</f>
        <v>1.3725980890528158</v>
      </c>
      <c r="R53" s="4">
        <f ca="1">IF(Tariff_SimCalculation!$W$3&lt;&gt;1,IF(AND($N53&lt;&gt;1,$D53="Exit"),Q53*Q$89,Q53),IF($N53&lt;&gt;1,Q53*Q$90,Q53))</f>
        <v>1.372598089052816</v>
      </c>
      <c r="S53" s="155"/>
      <c r="T53" s="155"/>
      <c r="U53" s="513"/>
      <c r="W53" s="513"/>
      <c r="X53" s="158"/>
      <c r="Y53" s="158"/>
      <c r="Z53" s="158"/>
      <c r="AD53" s="157"/>
      <c r="AE53" s="155"/>
      <c r="AF53" s="155"/>
      <c r="AG53" s="158"/>
      <c r="AH53" s="158"/>
      <c r="AI53" s="167"/>
      <c r="AJ53" s="158"/>
      <c r="AK53" s="158"/>
      <c r="AL53" s="158"/>
      <c r="AR53" s="64"/>
      <c r="AS53" s="64"/>
      <c r="AT53" s="155"/>
    </row>
    <row r="54" spans="1:46">
      <c r="C54" s="14" t="s">
        <v>0</v>
      </c>
      <c r="D54" t="s">
        <v>21</v>
      </c>
      <c r="E54" t="s">
        <v>31</v>
      </c>
      <c r="F54" t="s">
        <v>23</v>
      </c>
      <c r="G54" s="12">
        <f ca="1">OFFSET(Tariff_SimCalculation!O56,,$C$4-rpm_start_year)</f>
        <v>9945576.720543379</v>
      </c>
      <c r="H54" s="12">
        <f ca="1">OFFSET(Tariff_SimCalculation!R56,,$C$4-rpm_start_year)</f>
        <v>10987013.31882192</v>
      </c>
      <c r="I54" s="474">
        <v>0.97</v>
      </c>
      <c r="J54" s="469">
        <f t="shared" ref="J54:J80" ca="1" si="25">R54</f>
        <v>1.372598089052816</v>
      </c>
      <c r="K54" s="511" t="str">
        <f t="shared" ref="K54:K80" si="26">IF(N54=1,I54*(1+$O$51),"")</f>
        <v/>
      </c>
      <c r="L54" s="516"/>
      <c r="M54" s="4">
        <f t="shared" ref="M54:M65" ca="1" si="27">IF(D54="Entry",INDEX($AS$109:$AT$118,MATCH(F54,$D$109:$D$118,0),IF(E54="FZK",1,2)),INDEX($E$132:$AC$133,IF(E54="FZK",1,2),MATCH(F54,$E$108:$AC$108,0)))</f>
        <v>1.2777252245189243</v>
      </c>
      <c r="N54" s="62"/>
      <c r="O54" s="4">
        <f t="shared" ref="O54:O77" ca="1" si="28">IF(N54=1,MIN(M54,I54*(1+$O$51)),M54)</f>
        <v>1.2777252245189243</v>
      </c>
      <c r="P54" s="66">
        <f ca="1">IF(Tariff_SimCalculation!$W$3&lt;&gt;1,IF(AND($N54&lt;&gt;1,$D54="Exit"),O54*O$89,O54),IF($N54&lt;&gt;1,O54*O$90,O54))</f>
        <v>1.372598089052816</v>
      </c>
      <c r="Q54" s="4">
        <f ca="1">IF(Tariff_SimCalculation!$W$3&lt;&gt;1,IF(AND($N54&lt;&gt;1,$D54="Exit"),P54*P$89,P54),IF($N54&lt;&gt;1,P54*P$90,P54))</f>
        <v>1.3725980890528158</v>
      </c>
      <c r="R54" s="4">
        <f ca="1">IF(Tariff_SimCalculation!$W$3&lt;&gt;1,IF(AND($N54&lt;&gt;1,$D54="Exit"),Q54*Q$89,Q54),IF($N54&lt;&gt;1,Q54*Q$90,Q54))</f>
        <v>1.372598089052816</v>
      </c>
      <c r="S54" s="155"/>
      <c r="T54" s="155"/>
      <c r="U54" s="513"/>
      <c r="W54" s="513"/>
      <c r="X54" s="158"/>
      <c r="Y54" s="158"/>
      <c r="Z54" s="158"/>
      <c r="AD54" s="157"/>
      <c r="AE54" s="155"/>
      <c r="AF54" s="155"/>
      <c r="AG54" s="158"/>
      <c r="AH54" s="158"/>
      <c r="AI54" s="167"/>
      <c r="AJ54" s="158"/>
      <c r="AK54" s="158"/>
      <c r="AL54" s="158"/>
      <c r="AR54" s="64"/>
      <c r="AS54" s="64"/>
      <c r="AT54" s="155"/>
    </row>
    <row r="55" spans="1:46">
      <c r="C55" s="14" t="s">
        <v>0</v>
      </c>
      <c r="D55" t="s">
        <v>21</v>
      </c>
      <c r="E55" t="s">
        <v>31</v>
      </c>
      <c r="F55" t="s">
        <v>24</v>
      </c>
      <c r="G55" s="12">
        <f ca="1">OFFSET(Tariff_SimCalculation!O57,,$C$4-rpm_start_year)</f>
        <v>1871337.7898630137</v>
      </c>
      <c r="H55" s="12">
        <f ca="1">OFFSET(Tariff_SimCalculation!R57,,$C$4-rpm_start_year)</f>
        <v>2230891.0150684929</v>
      </c>
      <c r="I55" s="474">
        <v>0.97</v>
      </c>
      <c r="J55" s="469">
        <f t="shared" ca="1" si="25"/>
        <v>1.372598089052816</v>
      </c>
      <c r="K55" s="511" t="str">
        <f t="shared" si="26"/>
        <v/>
      </c>
      <c r="L55" s="516"/>
      <c r="M55" s="4">
        <f t="shared" ca="1" si="27"/>
        <v>1.2777252245189243</v>
      </c>
      <c r="N55" s="62"/>
      <c r="O55" s="4">
        <f t="shared" ca="1" si="28"/>
        <v>1.2777252245189243</v>
      </c>
      <c r="P55" s="66">
        <f ca="1">IF(Tariff_SimCalculation!$W$3&lt;&gt;1,IF(AND($N55&lt;&gt;1,$D55="Exit"),O55*O$89,O55),IF($N55&lt;&gt;1,O55*O$90,O55))</f>
        <v>1.372598089052816</v>
      </c>
      <c r="Q55" s="4">
        <f ca="1">IF(Tariff_SimCalculation!$W$3&lt;&gt;1,IF(AND($N55&lt;&gt;1,$D55="Exit"),P55*P$89,P55),IF($N55&lt;&gt;1,P55*P$90,P55))</f>
        <v>1.3725980890528158</v>
      </c>
      <c r="R55" s="4">
        <f ca="1">IF(Tariff_SimCalculation!$W$3&lt;&gt;1,IF(AND($N55&lt;&gt;1,$D55="Exit"),Q55*Q$89,Q55),IF($N55&lt;&gt;1,Q55*Q$90,Q55))</f>
        <v>1.372598089052816</v>
      </c>
      <c r="S55" s="155"/>
      <c r="T55" s="155"/>
      <c r="U55" s="513"/>
      <c r="W55" s="513"/>
      <c r="X55" s="158"/>
      <c r="Y55" s="158"/>
      <c r="Z55" s="158"/>
      <c r="AD55" s="157"/>
      <c r="AE55" s="155"/>
      <c r="AF55" s="155"/>
      <c r="AG55" s="158"/>
      <c r="AH55" s="158"/>
      <c r="AI55" s="167"/>
      <c r="AJ55" s="158"/>
      <c r="AK55" s="158"/>
      <c r="AL55" s="158"/>
      <c r="AR55" s="64"/>
      <c r="AS55" s="64"/>
      <c r="AT55" s="155"/>
    </row>
    <row r="56" spans="1:46">
      <c r="A56" s="59"/>
      <c r="C56" s="14" t="s">
        <v>0</v>
      </c>
      <c r="D56" t="s">
        <v>21</v>
      </c>
      <c r="E56" t="s">
        <v>31</v>
      </c>
      <c r="F56" t="s">
        <v>39</v>
      </c>
      <c r="G56" s="12">
        <f ca="1">OFFSET(Tariff_SimCalculation!O58,,$C$4-rpm_start_year)</f>
        <v>0</v>
      </c>
      <c r="H56" s="12">
        <f ca="1">OFFSET(Tariff_SimCalculation!R58,,$C$4-rpm_start_year)</f>
        <v>0</v>
      </c>
      <c r="I56" s="474">
        <v>0.84700000000000009</v>
      </c>
      <c r="J56" s="469">
        <f t="shared" ca="1" si="25"/>
        <v>1.372598089052816</v>
      </c>
      <c r="K56" s="511" t="str">
        <f t="shared" si="26"/>
        <v/>
      </c>
      <c r="L56" s="517">
        <f ca="1">IF(Tariff_SimCalculation!X11=1,J53,J53*AF112/AF109)</f>
        <v>1.372598089052816</v>
      </c>
      <c r="M56" s="4">
        <f t="shared" ca="1" si="27"/>
        <v>1.2777252245189243</v>
      </c>
      <c r="N56" s="62"/>
      <c r="O56" s="4">
        <f t="shared" ca="1" si="28"/>
        <v>1.2777252245189243</v>
      </c>
      <c r="P56" s="66">
        <f ca="1">IF(Tariff_SimCalculation!$W$3&lt;&gt;1,IF(AND($N56&lt;&gt;1,$D56="Exit"),O56*O$89,O56),IF($N56&lt;&gt;1,O56*O$90,O56))</f>
        <v>1.372598089052816</v>
      </c>
      <c r="Q56" s="4">
        <f ca="1">IF(Tariff_SimCalculation!$W$3&lt;&gt;1,IF(AND($N56&lt;&gt;1,$D56="Exit"),P56*P$89,P56),IF($N56&lt;&gt;1,P56*P$90,P56))</f>
        <v>1.3725980890528158</v>
      </c>
      <c r="R56" s="4">
        <f ca="1">IF(Tariff_SimCalculation!$W$3&lt;&gt;1,IF(AND($N56&lt;&gt;1,$D56="Exit"),Q56*Q$89,Q56),IF($N56&lt;&gt;1,Q56*Q$90,Q56))</f>
        <v>1.372598089052816</v>
      </c>
      <c r="S56" s="155"/>
      <c r="T56" s="155"/>
      <c r="U56" s="513"/>
      <c r="W56" s="513"/>
      <c r="X56" s="158"/>
      <c r="Y56" s="158"/>
      <c r="Z56" s="158"/>
      <c r="AD56" s="157"/>
      <c r="AE56" s="155"/>
      <c r="AF56" s="155"/>
      <c r="AG56" s="158"/>
      <c r="AH56" s="158"/>
      <c r="AI56" s="155"/>
      <c r="AJ56" s="158"/>
      <c r="AK56" s="158"/>
      <c r="AL56" s="158"/>
      <c r="AR56" s="64"/>
      <c r="AS56" s="64"/>
      <c r="AT56" s="155"/>
    </row>
    <row r="57" spans="1:46">
      <c r="A57" s="59"/>
      <c r="C57" s="14" t="s">
        <v>0</v>
      </c>
      <c r="D57" t="s">
        <v>21</v>
      </c>
      <c r="E57" t="s">
        <v>31</v>
      </c>
      <c r="F57" t="s">
        <v>34</v>
      </c>
      <c r="G57" s="12">
        <f ca="1">OFFSET(Tariff_SimCalculation!O59,,$C$4-rpm_start_year)</f>
        <v>0</v>
      </c>
      <c r="H57" s="12">
        <f ca="1">OFFSET(Tariff_SimCalculation!R59,,$C$4-rpm_start_year)</f>
        <v>0</v>
      </c>
      <c r="I57" s="474">
        <v>0.84700000000000009</v>
      </c>
      <c r="J57" s="469">
        <f t="shared" ca="1" si="25"/>
        <v>1.372598089052816</v>
      </c>
      <c r="K57" s="511" t="str">
        <f t="shared" si="26"/>
        <v/>
      </c>
      <c r="L57" s="517">
        <f ca="1">IF(Tariff_SimCalculation!X12=1,J54,J54*AF113/AF110)</f>
        <v>1.372598089052816</v>
      </c>
      <c r="M57" s="4">
        <f t="shared" ca="1" si="27"/>
        <v>1.2777252245189243</v>
      </c>
      <c r="N57" s="62"/>
      <c r="O57" s="4">
        <f t="shared" ca="1" si="28"/>
        <v>1.2777252245189243</v>
      </c>
      <c r="P57" s="66">
        <f ca="1">IF(Tariff_SimCalculation!$W$3&lt;&gt;1,IF(AND($N57&lt;&gt;1,$D57="Exit"),O57*O$89,O57),IF($N57&lt;&gt;1,O57*O$90,O57))</f>
        <v>1.372598089052816</v>
      </c>
      <c r="Q57" s="4">
        <f ca="1">IF(Tariff_SimCalculation!$W$3&lt;&gt;1,IF(AND($N57&lt;&gt;1,$D57="Exit"),P57*P$89,P57),IF($N57&lt;&gt;1,P57*P$90,P57))</f>
        <v>1.3725980890528158</v>
      </c>
      <c r="R57" s="4">
        <f ca="1">IF(Tariff_SimCalculation!$W$3&lt;&gt;1,IF(AND($N57&lt;&gt;1,$D57="Exit"),Q57*Q$89,Q57),IF($N57&lt;&gt;1,Q57*Q$90,Q57))</f>
        <v>1.372598089052816</v>
      </c>
      <c r="S57" s="155"/>
      <c r="T57" s="155"/>
      <c r="U57" s="513"/>
      <c r="W57" s="513"/>
      <c r="Y57" s="166"/>
      <c r="Z57" s="166"/>
      <c r="AA57" s="166"/>
      <c r="AD57" s="157"/>
      <c r="AE57" s="155"/>
      <c r="AF57" s="155"/>
      <c r="AG57" s="158"/>
      <c r="AH57" s="158"/>
      <c r="AK57" s="166"/>
      <c r="AL57" s="166"/>
      <c r="AM57" s="166"/>
      <c r="AR57" s="64"/>
      <c r="AS57" s="64"/>
    </row>
    <row r="58" spans="1:46">
      <c r="A58" s="59"/>
      <c r="C58" s="14" t="s">
        <v>0</v>
      </c>
      <c r="D58" t="s">
        <v>21</v>
      </c>
      <c r="E58" t="s">
        <v>31</v>
      </c>
      <c r="F58" t="s">
        <v>33</v>
      </c>
      <c r="G58" s="12">
        <f ca="1">OFFSET(Tariff_SimCalculation!O60,,$C$4-rpm_start_year)</f>
        <v>0</v>
      </c>
      <c r="H58" s="12">
        <f ca="1">OFFSET(Tariff_SimCalculation!R60,,$C$4-rpm_start_year)</f>
        <v>0</v>
      </c>
      <c r="I58" s="474">
        <v>0.97</v>
      </c>
      <c r="J58" s="469">
        <f t="shared" ca="1" si="25"/>
        <v>1.372598089052816</v>
      </c>
      <c r="K58" s="511" t="str">
        <f t="shared" si="26"/>
        <v/>
      </c>
      <c r="L58" s="517">
        <f ca="1">IF(Tariff_SimCalculation!X13=1,J55,J55*AF114/AF111)</f>
        <v>1.372598089052816</v>
      </c>
      <c r="M58" s="4">
        <f t="shared" ca="1" si="27"/>
        <v>1.2777252245189243</v>
      </c>
      <c r="N58" s="62"/>
      <c r="O58" s="4">
        <f t="shared" ca="1" si="28"/>
        <v>1.2777252245189243</v>
      </c>
      <c r="P58" s="66">
        <f ca="1">IF(Tariff_SimCalculation!$W$3&lt;&gt;1,IF(AND($N58&lt;&gt;1,$D58="Exit"),O58*O$89,O58),IF($N58&lt;&gt;1,O58*O$90,O58))</f>
        <v>1.372598089052816</v>
      </c>
      <c r="Q58" s="4">
        <f ca="1">IF(Tariff_SimCalculation!$W$3&lt;&gt;1,IF(AND($N58&lt;&gt;1,$D58="Exit"),P58*P$89,P58),IF($N58&lt;&gt;1,P58*P$90,P58))</f>
        <v>1.3725980890528158</v>
      </c>
      <c r="R58" s="4">
        <f ca="1">IF(Tariff_SimCalculation!$W$3&lt;&gt;1,IF(AND($N58&lt;&gt;1,$D58="Exit"),Q58*Q$89,Q58),IF($N58&lt;&gt;1,Q58*Q$90,Q58))</f>
        <v>1.372598089052816</v>
      </c>
      <c r="S58" s="155"/>
      <c r="T58" s="155"/>
      <c r="U58" s="513"/>
      <c r="W58" s="513"/>
      <c r="Y58" s="156"/>
      <c r="Z58" s="156"/>
      <c r="AA58" s="156"/>
      <c r="AD58" s="157"/>
      <c r="AE58" s="155"/>
      <c r="AF58" s="155"/>
      <c r="AG58" s="158"/>
      <c r="AH58" s="158"/>
      <c r="AK58" s="156"/>
      <c r="AL58" s="156"/>
      <c r="AM58" s="156"/>
      <c r="AN58" s="156"/>
      <c r="AO58" s="156"/>
      <c r="AR58" s="64"/>
      <c r="AS58" s="64"/>
    </row>
    <row r="59" spans="1:46">
      <c r="A59" s="59"/>
      <c r="C59" s="14" t="s">
        <v>0</v>
      </c>
      <c r="D59" t="s">
        <v>21</v>
      </c>
      <c r="E59" t="s">
        <v>31</v>
      </c>
      <c r="F59" t="s">
        <v>35</v>
      </c>
      <c r="G59" s="12">
        <f ca="1">OFFSET(Tariff_SimCalculation!O61,,$C$4-rpm_start_year)</f>
        <v>4028400.0000000009</v>
      </c>
      <c r="H59" s="12">
        <f ca="1">OFFSET(Tariff_SimCalculation!R61,,$C$4-rpm_start_year)</f>
        <v>4028400.0000000009</v>
      </c>
      <c r="I59" s="474">
        <v>0</v>
      </c>
      <c r="J59" s="469">
        <f t="shared" ca="1" si="25"/>
        <v>0</v>
      </c>
      <c r="K59" s="511" t="str">
        <f t="shared" si="26"/>
        <v/>
      </c>
      <c r="L59" s="516"/>
      <c r="M59" s="4">
        <f t="shared" ca="1" si="27"/>
        <v>0</v>
      </c>
      <c r="N59" s="62"/>
      <c r="O59" s="4">
        <f t="shared" ca="1" si="28"/>
        <v>0</v>
      </c>
      <c r="P59" s="66">
        <f ca="1">IF(Tariff_SimCalculation!$W$3&lt;&gt;1,IF(AND($N59&lt;&gt;1,$D59="Exit"),O59*O$89,O59),IF($N59&lt;&gt;1,O59*O$90,O59))</f>
        <v>0</v>
      </c>
      <c r="Q59" s="4">
        <f ca="1">IF(Tariff_SimCalculation!$W$3&lt;&gt;1,IF(AND($N59&lt;&gt;1,$D59="Exit"),P59*P$89,P59),IF($N59&lt;&gt;1,P59*P$90,P59))</f>
        <v>0</v>
      </c>
      <c r="R59" s="4">
        <f ca="1">IF(Tariff_SimCalculation!$W$3&lt;&gt;1,IF(AND($N59&lt;&gt;1,$D59="Exit"),Q59*Q$89,Q59),IF($N59&lt;&gt;1,Q59*Q$90,Q59))</f>
        <v>0</v>
      </c>
      <c r="S59" s="155"/>
      <c r="T59" s="155"/>
      <c r="U59" s="513"/>
      <c r="W59" s="513"/>
      <c r="X59" s="319"/>
      <c r="Y59" s="317"/>
      <c r="Z59" s="317"/>
      <c r="AA59" s="157"/>
      <c r="AD59" s="157"/>
      <c r="AE59" s="155"/>
      <c r="AF59" s="155"/>
      <c r="AG59" s="158"/>
      <c r="AH59" s="158"/>
      <c r="AJ59" s="319"/>
      <c r="AK59" s="317"/>
      <c r="AL59" s="317"/>
      <c r="AM59" s="157"/>
      <c r="AN59" s="158"/>
      <c r="AO59" s="158"/>
      <c r="AR59" s="64"/>
      <c r="AS59" s="64"/>
    </row>
    <row r="60" spans="1:46">
      <c r="A60" s="59"/>
      <c r="C60" s="14" t="s">
        <v>0</v>
      </c>
      <c r="D60" s="1" t="s">
        <v>30</v>
      </c>
      <c r="E60" t="s">
        <v>31</v>
      </c>
      <c r="F60" t="s">
        <v>22</v>
      </c>
      <c r="G60" s="12">
        <f ca="1">OFFSET(Tariff_SimCalculation!O62,,$C$4-rpm_start_year)</f>
        <v>4599480.7206585268</v>
      </c>
      <c r="H60" s="12">
        <f ca="1">OFFSET(Tariff_SimCalculation!R62,,$C$4-rpm_start_year)</f>
        <v>4599480.7206585268</v>
      </c>
      <c r="I60" s="474">
        <v>1.2320000000000002</v>
      </c>
      <c r="J60" s="469">
        <f t="shared" ca="1" si="25"/>
        <v>2.1480106281567006</v>
      </c>
      <c r="K60" s="511" t="str">
        <f t="shared" si="26"/>
        <v/>
      </c>
      <c r="L60" s="516"/>
      <c r="M60" s="4">
        <f t="shared" ca="1" si="27"/>
        <v>1.9995418790248281</v>
      </c>
      <c r="N60" s="62"/>
      <c r="O60" s="4">
        <f t="shared" ca="1" si="28"/>
        <v>1.9995418790248281</v>
      </c>
      <c r="P60" s="66">
        <f ca="1">IF(Tariff_SimCalculation!$W$3&lt;&gt;1,IF(AND($N60&lt;&gt;1,$D60="Exit"),O60*O$89,O60),IF($N60&lt;&gt;1,O60*O$90,O60))</f>
        <v>2.1480106281567006</v>
      </c>
      <c r="Q60" s="4">
        <f ca="1">IF(Tariff_SimCalculation!$W$3&lt;&gt;1,IF(AND($N60&lt;&gt;1,$D60="Exit"),P60*P$89,P60),IF($N60&lt;&gt;1,P60*P$90,P60))</f>
        <v>2.1480106281567002</v>
      </c>
      <c r="R60" s="4">
        <f ca="1">IF(Tariff_SimCalculation!$W$3&lt;&gt;1,IF(AND($N60&lt;&gt;1,$D60="Exit"),Q60*Q$89,Q60),IF($N60&lt;&gt;1,Q60*Q$90,Q60))</f>
        <v>2.1480106281567006</v>
      </c>
      <c r="S60" s="155"/>
      <c r="T60" s="155"/>
      <c r="U60" s="513"/>
      <c r="W60" s="513"/>
      <c r="X60" s="319"/>
      <c r="Y60" s="317"/>
      <c r="Z60" s="317"/>
      <c r="AA60" s="157"/>
      <c r="AD60" s="157"/>
      <c r="AE60" s="155"/>
      <c r="AF60" s="155"/>
      <c r="AG60" s="158"/>
      <c r="AH60" s="158"/>
      <c r="AJ60" s="319"/>
      <c r="AK60" s="317"/>
      <c r="AL60" s="317"/>
      <c r="AM60" s="157"/>
      <c r="AN60" s="158"/>
      <c r="AO60" s="158"/>
      <c r="AQ60" s="1"/>
      <c r="AR60" s="64"/>
      <c r="AS60" s="64"/>
    </row>
    <row r="61" spans="1:46">
      <c r="A61" s="59"/>
      <c r="C61" s="14" t="s">
        <v>0</v>
      </c>
      <c r="D61" s="1" t="s">
        <v>30</v>
      </c>
      <c r="E61" t="s">
        <v>31</v>
      </c>
      <c r="F61" t="s">
        <v>23</v>
      </c>
      <c r="G61" s="12">
        <f ca="1">OFFSET(Tariff_SimCalculation!O63,,$C$4-rpm_start_year)</f>
        <v>13795957.000000002</v>
      </c>
      <c r="H61" s="12">
        <f ca="1">OFFSET(Tariff_SimCalculation!R63,,$C$4-rpm_start_year)</f>
        <v>13795957.000000002</v>
      </c>
      <c r="I61" s="474">
        <v>3.26</v>
      </c>
      <c r="J61" s="469">
        <f t="shared" ca="1" si="25"/>
        <v>4.3074672467522168</v>
      </c>
      <c r="K61" s="511" t="str">
        <f t="shared" si="26"/>
        <v/>
      </c>
      <c r="L61" s="516"/>
      <c r="M61" s="4">
        <f t="shared" ca="1" si="27"/>
        <v>4.0097386109304214</v>
      </c>
      <c r="N61" s="62"/>
      <c r="O61" s="4">
        <f t="shared" ca="1" si="28"/>
        <v>4.0097386109304214</v>
      </c>
      <c r="P61" s="66">
        <f ca="1">IF(Tariff_SimCalculation!$W$3&lt;&gt;1,IF(AND($N61&lt;&gt;1,$D61="Exit"),O61*O$89,O61),IF($N61&lt;&gt;1,O61*O$90,O61))</f>
        <v>4.3074672467522168</v>
      </c>
      <c r="Q61" s="4">
        <f ca="1">IF(Tariff_SimCalculation!$W$3&lt;&gt;1,IF(AND($N61&lt;&gt;1,$D61="Exit"),P61*P$89,P61),IF($N61&lt;&gt;1,P61*P$90,P61))</f>
        <v>4.3074672467522159</v>
      </c>
      <c r="R61" s="4">
        <f ca="1">IF(Tariff_SimCalculation!$W$3&lt;&gt;1,IF(AND($N61&lt;&gt;1,$D61="Exit"),Q61*Q$89,Q61),IF($N61&lt;&gt;1,Q61*Q$90,Q61))</f>
        <v>4.3074672467522168</v>
      </c>
      <c r="S61" s="155"/>
      <c r="T61" s="155"/>
      <c r="U61" s="513"/>
      <c r="W61" s="513"/>
      <c r="Y61" s="277"/>
      <c r="Z61" s="277"/>
      <c r="AA61" s="318"/>
      <c r="AD61" s="157"/>
      <c r="AE61" s="155"/>
      <c r="AF61" s="155"/>
      <c r="AG61" s="158"/>
      <c r="AH61" s="158"/>
      <c r="AK61" s="277"/>
      <c r="AL61" s="277"/>
      <c r="AM61" s="318"/>
      <c r="AN61" s="158"/>
      <c r="AO61" s="158"/>
      <c r="AQ61" s="1"/>
      <c r="AR61" s="64"/>
      <c r="AS61" s="64"/>
    </row>
    <row r="62" spans="1:46">
      <c r="A62" s="59"/>
      <c r="C62" s="14" t="s">
        <v>0</v>
      </c>
      <c r="D62" s="1" t="s">
        <v>30</v>
      </c>
      <c r="E62" t="s">
        <v>31</v>
      </c>
      <c r="F62" t="s">
        <v>24</v>
      </c>
      <c r="G62" s="12">
        <f ca="1">OFFSET(Tariff_SimCalculation!O64,,$C$4-rpm_start_year)</f>
        <v>324117.03253424657</v>
      </c>
      <c r="H62" s="12">
        <f ca="1">OFFSET(Tariff_SimCalculation!R64,,$C$4-rpm_start_year)</f>
        <v>324117.03253424657</v>
      </c>
      <c r="I62" s="474">
        <v>3.26</v>
      </c>
      <c r="J62" s="469">
        <f t="shared" ca="1" si="25"/>
        <v>4.3074672467522168</v>
      </c>
      <c r="K62" s="511" t="str">
        <f t="shared" si="26"/>
        <v/>
      </c>
      <c r="L62" s="516"/>
      <c r="M62" s="4">
        <f t="shared" ca="1" si="27"/>
        <v>4.0097386109304214</v>
      </c>
      <c r="N62" s="62"/>
      <c r="O62" s="4">
        <f t="shared" ca="1" si="28"/>
        <v>4.0097386109304214</v>
      </c>
      <c r="P62" s="66">
        <f ca="1">IF(Tariff_SimCalculation!$W$3&lt;&gt;1,IF(AND($N62&lt;&gt;1,$D62="Exit"),O62*O$89,O62),IF($N62&lt;&gt;1,O62*O$90,O62))</f>
        <v>4.3074672467522168</v>
      </c>
      <c r="Q62" s="4">
        <f ca="1">IF(Tariff_SimCalculation!$W$3&lt;&gt;1,IF(AND($N62&lt;&gt;1,$D62="Exit"),P62*P$89,P62),IF($N62&lt;&gt;1,P62*P$90,P62))</f>
        <v>4.3074672467522159</v>
      </c>
      <c r="R62" s="4">
        <f ca="1">IF(Tariff_SimCalculation!$W$3&lt;&gt;1,IF(AND($N62&lt;&gt;1,$D62="Exit"),Q62*Q$89,Q62),IF($N62&lt;&gt;1,Q62*Q$90,Q62))</f>
        <v>4.3074672467522168</v>
      </c>
      <c r="S62" s="155"/>
      <c r="T62" s="155"/>
      <c r="U62" s="513"/>
      <c r="W62" s="513"/>
      <c r="Y62" s="5"/>
      <c r="Z62" s="317"/>
      <c r="AA62" s="158"/>
      <c r="AD62" s="157"/>
      <c r="AE62" s="155"/>
      <c r="AF62" s="155"/>
      <c r="AG62" s="158"/>
      <c r="AH62" s="158"/>
      <c r="AK62" s="5"/>
      <c r="AL62" s="317"/>
      <c r="AM62" s="158"/>
      <c r="AN62" s="158"/>
      <c r="AO62" s="158"/>
      <c r="AQ62" s="1"/>
      <c r="AR62" s="64"/>
      <c r="AS62" s="64"/>
    </row>
    <row r="63" spans="1:46">
      <c r="A63" s="59"/>
      <c r="C63" s="14" t="s">
        <v>0</v>
      </c>
      <c r="D63" s="1" t="s">
        <v>30</v>
      </c>
      <c r="E63" t="s">
        <v>31</v>
      </c>
      <c r="F63" t="s">
        <v>39</v>
      </c>
      <c r="G63" s="12">
        <f ca="1">OFFSET(Tariff_SimCalculation!O65,,$C$4-rpm_start_year)</f>
        <v>5747512.6909736302</v>
      </c>
      <c r="H63" s="12">
        <f ca="1">OFFSET(Tariff_SimCalculation!R65,,$C$4-rpm_start_year)</f>
        <v>6142391.6287736297</v>
      </c>
      <c r="I63" s="474">
        <v>1.2320000000000002</v>
      </c>
      <c r="J63" s="469">
        <f t="shared" ca="1" si="25"/>
        <v>2.1434083293827535</v>
      </c>
      <c r="K63" s="511" t="str">
        <f t="shared" si="26"/>
        <v/>
      </c>
      <c r="L63" s="516"/>
      <c r="M63" s="4">
        <f t="shared" ca="1" si="27"/>
        <v>1.9952576874022807</v>
      </c>
      <c r="N63" s="62"/>
      <c r="O63" s="4">
        <f t="shared" ca="1" si="28"/>
        <v>1.9952576874022807</v>
      </c>
      <c r="P63" s="66">
        <f ca="1">IF(Tariff_SimCalculation!$W$3&lt;&gt;1,IF(AND($N63&lt;&gt;1,$D63="Exit"),O63*O$89,O63),IF($N63&lt;&gt;1,O63*O$90,O63))</f>
        <v>2.1434083293827535</v>
      </c>
      <c r="Q63" s="4">
        <f ca="1">IF(Tariff_SimCalculation!$W$3&lt;&gt;1,IF(AND($N63&lt;&gt;1,$D63="Exit"),P63*P$89,P63),IF($N63&lt;&gt;1,P63*P$90,P63))</f>
        <v>2.1434083293827531</v>
      </c>
      <c r="R63" s="4">
        <f ca="1">IF(Tariff_SimCalculation!$W$3&lt;&gt;1,IF(AND($N63&lt;&gt;1,$D63="Exit"),Q63*Q$89,Q63),IF($N63&lt;&gt;1,Q63*Q$90,Q63))</f>
        <v>2.1434083293827535</v>
      </c>
      <c r="S63" s="155"/>
      <c r="T63" s="155"/>
      <c r="U63" s="513"/>
      <c r="W63" s="513"/>
      <c r="Y63" s="320"/>
      <c r="Z63" s="320"/>
      <c r="AA63" s="156"/>
      <c r="AD63" s="157"/>
      <c r="AE63" s="155"/>
      <c r="AF63" s="155"/>
      <c r="AG63" s="158"/>
      <c r="AH63" s="158"/>
      <c r="AK63" s="320"/>
      <c r="AL63" s="320"/>
      <c r="AM63" s="156"/>
      <c r="AN63" s="158"/>
      <c r="AO63" s="158"/>
      <c r="AQ63" s="1"/>
      <c r="AR63" s="64"/>
      <c r="AS63" s="64"/>
    </row>
    <row r="64" spans="1:46">
      <c r="A64" s="59"/>
      <c r="C64" s="14" t="s">
        <v>0</v>
      </c>
      <c r="D64" s="1" t="s">
        <v>30</v>
      </c>
      <c r="E64" t="s">
        <v>31</v>
      </c>
      <c r="F64" t="s">
        <v>34</v>
      </c>
      <c r="G64" s="12">
        <f ca="1">OFFSET(Tariff_SimCalculation!O66,,$C$4-rpm_start_year)</f>
        <v>0</v>
      </c>
      <c r="H64" s="12">
        <f ca="1">OFFSET(Tariff_SimCalculation!R66,,$C$4-rpm_start_year)</f>
        <v>0</v>
      </c>
      <c r="I64" s="474">
        <v>1.2320000000000002</v>
      </c>
      <c r="J64" s="469">
        <f t="shared" ca="1" si="25"/>
        <v>0</v>
      </c>
      <c r="K64" s="511" t="str">
        <f t="shared" si="26"/>
        <v/>
      </c>
      <c r="L64" s="517">
        <f ca="1">J63*I121/H121</f>
        <v>2.0099518412445678</v>
      </c>
      <c r="M64" s="4">
        <f t="shared" ca="1" si="27"/>
        <v>0</v>
      </c>
      <c r="N64" s="62"/>
      <c r="O64" s="4">
        <f t="shared" ca="1" si="28"/>
        <v>0</v>
      </c>
      <c r="P64" s="66">
        <f ca="1">IF(Tariff_SimCalculation!$W$3&lt;&gt;1,IF(AND($N64&lt;&gt;1,$D64="Exit"),O64*O$89,O64),IF($N64&lt;&gt;1,O64*O$90,O64))</f>
        <v>0</v>
      </c>
      <c r="Q64" s="4">
        <f ca="1">IF(Tariff_SimCalculation!$W$3&lt;&gt;1,IF(AND($N64&lt;&gt;1,$D64="Exit"),P64*P$89,P64),IF($N64&lt;&gt;1,P64*P$90,P64))</f>
        <v>0</v>
      </c>
      <c r="R64" s="4">
        <f ca="1">IF(Tariff_SimCalculation!$W$3&lt;&gt;1,IF(AND($N64&lt;&gt;1,$D64="Exit"),Q64*Q$89,Q64),IF($N64&lt;&gt;1,Q64*Q$90,Q64))</f>
        <v>0</v>
      </c>
      <c r="S64" s="155"/>
      <c r="T64" s="155"/>
      <c r="U64" s="513"/>
      <c r="W64" s="513"/>
      <c r="X64" s="319"/>
      <c r="Y64" s="317"/>
      <c r="Z64" s="317"/>
      <c r="AA64" s="157"/>
      <c r="AD64" s="157"/>
      <c r="AE64" s="155"/>
      <c r="AF64" s="155"/>
      <c r="AG64" s="158"/>
      <c r="AH64" s="158"/>
      <c r="AJ64" s="319"/>
      <c r="AK64" s="317"/>
      <c r="AL64" s="317"/>
      <c r="AM64" s="157"/>
      <c r="AN64" s="158"/>
      <c r="AO64" s="264"/>
      <c r="AQ64" s="1"/>
      <c r="AR64" s="64"/>
      <c r="AS64" s="64"/>
    </row>
    <row r="65" spans="1:45">
      <c r="A65" s="59"/>
      <c r="C65" s="14" t="s">
        <v>0</v>
      </c>
      <c r="D65" s="1" t="s">
        <v>30</v>
      </c>
      <c r="E65" t="s">
        <v>31</v>
      </c>
      <c r="F65" t="s">
        <v>33</v>
      </c>
      <c r="G65" s="12">
        <f ca="1">OFFSET(Tariff_SimCalculation!O67,,$C$4-rpm_start_year)</f>
        <v>638698.63013698626</v>
      </c>
      <c r="H65" s="12">
        <f ca="1">OFFSET(Tariff_SimCalculation!R67,,$C$4-rpm_start_year)</f>
        <v>638698.63013698626</v>
      </c>
      <c r="I65" s="474">
        <v>1.9</v>
      </c>
      <c r="J65" s="469">
        <f t="shared" ca="1" si="25"/>
        <v>3.7353308470594149</v>
      </c>
      <c r="K65" s="511" t="str">
        <f t="shared" si="26"/>
        <v/>
      </c>
      <c r="L65" s="516"/>
      <c r="M65" s="4">
        <f t="shared" ca="1" si="27"/>
        <v>3.4771478142629162</v>
      </c>
      <c r="N65" s="62"/>
      <c r="O65" s="4">
        <f t="shared" ca="1" si="28"/>
        <v>3.4771478142629162</v>
      </c>
      <c r="P65" s="66">
        <f ca="1">IF(Tariff_SimCalculation!$W$3&lt;&gt;1,IF(AND($N65&lt;&gt;1,$D65="Exit"),O65*O$89,O65),IF($N65&lt;&gt;1,O65*O$90,O65))</f>
        <v>3.7353308470594149</v>
      </c>
      <c r="Q65" s="4">
        <f ca="1">IF(Tariff_SimCalculation!$W$3&lt;&gt;1,IF(AND($N65&lt;&gt;1,$D65="Exit"),P65*P$89,P65),IF($N65&lt;&gt;1,P65*P$90,P65))</f>
        <v>3.735330847059414</v>
      </c>
      <c r="R65" s="4">
        <f ca="1">IF(Tariff_SimCalculation!$W$3&lt;&gt;1,IF(AND($N65&lt;&gt;1,$D65="Exit"),Q65*Q$89,Q65),IF($N65&lt;&gt;1,Q65*Q$90,Q65))</f>
        <v>3.7353308470594149</v>
      </c>
      <c r="S65" s="155"/>
      <c r="T65" s="155"/>
      <c r="U65" s="513"/>
      <c r="W65" s="513"/>
      <c r="X65" s="319"/>
      <c r="Y65" s="317"/>
      <c r="Z65" s="317"/>
      <c r="AA65" s="157"/>
      <c r="AD65" s="157"/>
      <c r="AE65" s="155"/>
      <c r="AF65" s="155"/>
      <c r="AG65" s="158"/>
      <c r="AH65" s="158"/>
      <c r="AJ65" s="319"/>
      <c r="AK65" s="317"/>
      <c r="AL65" s="317"/>
      <c r="AM65" s="157"/>
      <c r="AN65" s="158"/>
      <c r="AO65" s="158"/>
      <c r="AQ65" s="1"/>
      <c r="AR65" s="64"/>
      <c r="AS65" s="64"/>
    </row>
    <row r="66" spans="1:45">
      <c r="A66" s="59"/>
      <c r="C66" s="14" t="s">
        <v>0</v>
      </c>
      <c r="D66" s="1" t="s">
        <v>30</v>
      </c>
      <c r="E66" t="s">
        <v>31</v>
      </c>
      <c r="F66" t="s">
        <v>35</v>
      </c>
      <c r="G66" s="12">
        <f ca="1">OFFSET(Tariff_SimCalculation!O68,,$C$4-rpm_start_year)</f>
        <v>21422795</v>
      </c>
      <c r="H66" s="12">
        <f ca="1">OFFSET(Tariff_SimCalculation!R68,,$C$4-rpm_start_year)</f>
        <v>21422795</v>
      </c>
      <c r="I66" s="474">
        <v>0.42</v>
      </c>
      <c r="J66" s="469">
        <f ca="1">R66</f>
        <v>1.26</v>
      </c>
      <c r="K66" s="511">
        <f>IF(N66=1,I66*(1+$O$51),"")</f>
        <v>1.26</v>
      </c>
      <c r="L66" s="516"/>
      <c r="M66" s="4">
        <f ca="1">$N$132</f>
        <v>1.7616704333006232</v>
      </c>
      <c r="N66" s="62">
        <f>IF(Tariff_SimCalculation!F35&lt;&gt;"no",1,0)</f>
        <v>1</v>
      </c>
      <c r="O66" s="4">
        <f t="shared" ca="1" si="28"/>
        <v>1.26</v>
      </c>
      <c r="P66" s="66">
        <f ca="1">IF(Tariff_SimCalculation!$W$3&lt;&gt;1,IF(AND($N66&lt;&gt;1,$D66="Exit"),O66*O$89,MIN(MAX(O66,O66*O$89),$I66*(1+$O$51))),IF($N66&lt;&gt;1,O66*O$90,MIN(MAX(O66,O66*O$90),$I66*(1+$O$51))))</f>
        <v>1.26</v>
      </c>
      <c r="Q66" s="4">
        <f ca="1">IF(Tariff_SimCalculation!$W$3&lt;&gt;1,IF(AND($N66&lt;&gt;1,$D66="Exit"),P66*P$89,MIN(MAX(P66,P66*P$89),$I66*(1+$O$51))),IF($N66&lt;&gt;1,P66*P$90,MIN(MAX(P66,P66*P$90),$I66*(1+$O$51))))</f>
        <v>1.26</v>
      </c>
      <c r="R66" s="4">
        <f ca="1">IF(Tariff_SimCalculation!$W$3&lt;&gt;1,IF(AND($N66&lt;&gt;1,$D66="Exit"),Q66*Q$89,MIN(MAX(Q66,Q66*Q$89),$I66*(1+$O$51))),IF($N66&lt;&gt;1,Q66*Q$90,MIN(MAX(Q66,Q66*Q$90),$I66*(1+$O$51))))</f>
        <v>1.26</v>
      </c>
      <c r="S66" s="155"/>
      <c r="T66" s="155"/>
      <c r="U66" s="513"/>
      <c r="W66" s="513"/>
      <c r="Y66" s="277"/>
      <c r="Z66" s="277"/>
      <c r="AA66" s="318"/>
      <c r="AD66" s="157"/>
      <c r="AE66" s="155"/>
      <c r="AF66" s="155"/>
      <c r="AG66" s="158"/>
      <c r="AH66" s="158"/>
      <c r="AK66" s="277"/>
      <c r="AL66" s="277"/>
      <c r="AM66" s="318"/>
      <c r="AN66" s="158"/>
      <c r="AO66" s="158"/>
      <c r="AQ66" s="1"/>
      <c r="AR66" s="64"/>
      <c r="AS66" s="64"/>
    </row>
    <row r="67" spans="1:45">
      <c r="A67" s="59"/>
      <c r="C67" s="14" t="s">
        <v>0</v>
      </c>
      <c r="D67" t="s">
        <v>21</v>
      </c>
      <c r="E67" s="3" t="s">
        <v>32</v>
      </c>
      <c r="F67" t="s">
        <v>24</v>
      </c>
      <c r="G67" s="12">
        <f ca="1">OFFSET(Tariff_SimCalculation!O69,,$C$4-rpm_start_year)</f>
        <v>3357000</v>
      </c>
      <c r="H67" s="12">
        <f ca="1">OFFSET(Tariff_SimCalculation!R69,,$C$4-rpm_start_year)</f>
        <v>3357000</v>
      </c>
      <c r="I67" s="474">
        <v>0.88</v>
      </c>
      <c r="J67" s="469">
        <f t="shared" ca="1" si="25"/>
        <v>1.2353382801475343</v>
      </c>
      <c r="K67" s="511" t="str">
        <f t="shared" si="26"/>
        <v/>
      </c>
      <c r="L67" s="516"/>
      <c r="M67" s="504">
        <f ca="1">IF(D67="Entry",INDEX($AS$109:$AT$118,MATCH(F67,$D$109:$D$118,0),IF(E67="FZK",1,2)),INDEX($E$132:$AC$133,IF(E67="FZK",1,2),MATCH(F67,$E$108:$AC$108,0)))</f>
        <v>1.1499527020670319</v>
      </c>
      <c r="N67" s="505"/>
      <c r="O67" s="506">
        <f ca="1">O55*(1-discount_DZK)</f>
        <v>1.1499527020670319</v>
      </c>
      <c r="P67" s="522">
        <f ca="1">P55*(1-discount_DZK)</f>
        <v>1.2353382801475343</v>
      </c>
      <c r="Q67" s="506">
        <f ca="1">Q55*(1-discount_DZK)</f>
        <v>1.2353382801475343</v>
      </c>
      <c r="R67" s="506">
        <f ca="1">R55*(1-discount_DZK)</f>
        <v>1.2353382801475343</v>
      </c>
      <c r="S67" s="155"/>
      <c r="T67" s="155"/>
      <c r="U67" s="513"/>
      <c r="W67" s="513"/>
      <c r="AD67" s="157"/>
      <c r="AE67" s="155"/>
      <c r="AF67" s="155"/>
      <c r="AG67" s="158"/>
      <c r="AH67" s="158"/>
      <c r="AR67" s="64"/>
      <c r="AS67" s="64"/>
    </row>
    <row r="68" spans="1:45">
      <c r="A68" s="59"/>
      <c r="C68" s="14" t="s">
        <v>0</v>
      </c>
      <c r="D68" s="1" t="s">
        <v>30</v>
      </c>
      <c r="E68" s="3" t="s">
        <v>32</v>
      </c>
      <c r="F68" t="s">
        <v>24</v>
      </c>
      <c r="G68" s="12">
        <f ca="1">OFFSET(Tariff_SimCalculation!O70,,$C$4-rpm_start_year)</f>
        <v>6431372.0000000019</v>
      </c>
      <c r="H68" s="12">
        <f ca="1">OFFSET(Tariff_SimCalculation!R70,,$C$4-rpm_start_year)</f>
        <v>6431372.0000000019</v>
      </c>
      <c r="I68" s="474">
        <v>2.93</v>
      </c>
      <c r="J68" s="469">
        <f t="shared" ca="1" si="25"/>
        <v>3.8767205220769951</v>
      </c>
      <c r="K68" s="511" t="str">
        <f t="shared" si="26"/>
        <v/>
      </c>
      <c r="L68" s="516"/>
      <c r="M68" s="504">
        <f ca="1">IF(D68="Entry",INDEX($AS$109:$AT$118,MATCH(F68,$D$109:$D$118,0),IF(E68="FZK",1,2)),INDEX($E$132:$AC$133,IF(E68="FZK",1,2),MATCH(F68,$E$108:$AC$108,0)))</f>
        <v>3.6087647498373787</v>
      </c>
      <c r="N68" s="505"/>
      <c r="O68" s="506">
        <f ca="1">O62*(1-discount_DZK)</f>
        <v>3.6087647498373792</v>
      </c>
      <c r="P68" s="522">
        <f ca="1">P62*(1-discount_DZK)</f>
        <v>3.8767205220769951</v>
      </c>
      <c r="Q68" s="506">
        <f ca="1">Q62*(1-discount_DZK)</f>
        <v>3.8767205220769942</v>
      </c>
      <c r="R68" s="506">
        <f ca="1">R62*(1-discount_DZK)</f>
        <v>3.8767205220769951</v>
      </c>
      <c r="S68" s="155"/>
      <c r="T68" s="155"/>
      <c r="U68" s="513"/>
      <c r="W68" s="513"/>
      <c r="X68" s="319"/>
      <c r="Y68" s="317"/>
      <c r="AD68" s="157"/>
      <c r="AE68" s="155"/>
      <c r="AF68" s="155"/>
      <c r="AG68" s="158"/>
      <c r="AH68" s="158"/>
      <c r="AJ68" s="319"/>
      <c r="AK68" s="317"/>
      <c r="AQ68" s="1"/>
      <c r="AR68" s="64"/>
      <c r="AS68" s="64"/>
    </row>
    <row r="69" spans="1:45">
      <c r="A69" s="59"/>
      <c r="C69" s="14" t="s">
        <v>0</v>
      </c>
      <c r="D69" s="1" t="s">
        <v>30</v>
      </c>
      <c r="E69" s="3" t="s">
        <v>32</v>
      </c>
      <c r="F69" t="s">
        <v>35</v>
      </c>
      <c r="G69" s="12">
        <f ca="1">OFFSET(Tariff_SimCalculation!O71,,$C$4-rpm_start_year)</f>
        <v>4635629</v>
      </c>
      <c r="H69" s="12">
        <f ca="1">OFFSET(Tariff_SimCalculation!R71,,$C$4-rpm_start_year)</f>
        <v>4635629</v>
      </c>
      <c r="I69" s="514">
        <f>I66*0.9</f>
        <v>0.378</v>
      </c>
      <c r="J69" s="469">
        <f t="shared" ca="1" si="25"/>
        <v>1.1340000000000001</v>
      </c>
      <c r="K69" s="511">
        <f t="shared" si="26"/>
        <v>1.1339999999999999</v>
      </c>
      <c r="L69" s="516"/>
      <c r="M69" s="504">
        <f ca="1">$N$133</f>
        <v>1.5855033899705608</v>
      </c>
      <c r="N69" s="505">
        <f>N66</f>
        <v>1</v>
      </c>
      <c r="O69" s="506">
        <f ca="1">O66*(1-discount_DZK)</f>
        <v>1.1340000000000001</v>
      </c>
      <c r="P69" s="522">
        <f ca="1">P66*(1-discount_DZK)</f>
        <v>1.1340000000000001</v>
      </c>
      <c r="Q69" s="506">
        <f ca="1">Q66*(1-discount_DZK)</f>
        <v>1.1340000000000001</v>
      </c>
      <c r="R69" s="506">
        <f ca="1">R66*(1-discount_DZK)</f>
        <v>1.1340000000000001</v>
      </c>
      <c r="S69" s="155"/>
      <c r="T69" s="155"/>
      <c r="U69" s="513"/>
      <c r="W69" s="513"/>
      <c r="AD69" s="157"/>
      <c r="AE69" s="155"/>
      <c r="AF69" s="155"/>
      <c r="AG69" s="158"/>
      <c r="AH69" s="158"/>
      <c r="AQ69" s="1"/>
      <c r="AR69" s="64"/>
      <c r="AS69" s="64"/>
    </row>
    <row r="70" spans="1:45">
      <c r="A70" s="59"/>
      <c r="C70" s="14" t="s">
        <v>0</v>
      </c>
      <c r="D70" s="1" t="s">
        <v>30</v>
      </c>
      <c r="E70" s="3" t="s">
        <v>32</v>
      </c>
      <c r="F70" t="s">
        <v>35</v>
      </c>
      <c r="G70" s="12">
        <f ca="1">OFFSET(Tariff_SimCalculation!O72,,$C$4-rpm_start_year)</f>
        <v>2378663</v>
      </c>
      <c r="H70" s="12">
        <f ca="1">OFFSET(Tariff_SimCalculation!R72,,$C$4-rpm_start_year)</f>
        <v>2378663</v>
      </c>
      <c r="I70" s="514">
        <f>I66*0.9</f>
        <v>0.378</v>
      </c>
      <c r="J70" s="469">
        <f t="shared" ca="1" si="25"/>
        <v>1.1340000000000001</v>
      </c>
      <c r="K70" s="511">
        <f t="shared" si="26"/>
        <v>1.1339999999999999</v>
      </c>
      <c r="L70" s="516"/>
      <c r="M70" s="504">
        <f ca="1">$N$133</f>
        <v>1.5855033899705608</v>
      </c>
      <c r="N70" s="505">
        <f>N66</f>
        <v>1</v>
      </c>
      <c r="O70" s="506">
        <f ca="1">O66*(1-discount_DZK)</f>
        <v>1.1340000000000001</v>
      </c>
      <c r="P70" s="522">
        <f ca="1">P66*(1-discount_DZK)</f>
        <v>1.1340000000000001</v>
      </c>
      <c r="Q70" s="506">
        <f ca="1">Q66*(1-discount_DZK)</f>
        <v>1.1340000000000001</v>
      </c>
      <c r="R70" s="506">
        <f ca="1">R66*(1-discount_DZK)</f>
        <v>1.1340000000000001</v>
      </c>
      <c r="S70" s="155"/>
      <c r="T70" s="155"/>
      <c r="U70" s="513"/>
      <c r="W70" s="513"/>
      <c r="X70" s="332"/>
      <c r="Y70" s="331"/>
      <c r="AD70" s="157"/>
      <c r="AE70" s="155"/>
      <c r="AF70" s="155"/>
      <c r="AG70" s="158"/>
      <c r="AH70" s="158"/>
      <c r="AJ70" s="332"/>
      <c r="AK70" s="331"/>
      <c r="AQ70" s="1"/>
      <c r="AR70" s="64"/>
      <c r="AS70" s="64"/>
    </row>
    <row r="71" spans="1:45">
      <c r="A71" s="59"/>
      <c r="C71" s="14" t="s">
        <v>0</v>
      </c>
      <c r="D71" t="s">
        <v>21</v>
      </c>
      <c r="E71" t="s">
        <v>31</v>
      </c>
      <c r="F71" t="s">
        <v>56</v>
      </c>
      <c r="G71" s="12">
        <f ca="1">OFFSET(Tariff_SimCalculation!O73,,$C$4-rpm_start_year)</f>
        <v>0</v>
      </c>
      <c r="H71" s="12">
        <f ca="1">OFFSET(Tariff_SimCalculation!R73,,$C$4-rpm_start_year)</f>
        <v>0</v>
      </c>
      <c r="I71" s="474">
        <v>0</v>
      </c>
      <c r="J71" s="469">
        <f t="shared" ca="1" si="25"/>
        <v>0</v>
      </c>
      <c r="K71" s="511" t="str">
        <f t="shared" si="26"/>
        <v/>
      </c>
      <c r="L71" s="516"/>
      <c r="M71" s="4">
        <f ca="1">IF(D71="Entry",INDEX($AS$109:$AT$118,MATCH(F71,$D$109:$D$118,0),IF(E71="FZK",1,2)),INDEX($E$132:$AC$133,IF(E71="FZK",1,2),MATCH(F71,$E$108:$AC$108,0)))</f>
        <v>0</v>
      </c>
      <c r="N71" s="62"/>
      <c r="O71" s="4">
        <f t="shared" ca="1" si="28"/>
        <v>0</v>
      </c>
      <c r="P71" s="66">
        <f ca="1">IF(Tariff_SimCalculation!$W$3&lt;&gt;1,IF(AND($N71&lt;&gt;1,$D71="Exit"),O71*O$89,O71),IF($N71&lt;&gt;1,O71*O$90,O71))</f>
        <v>0</v>
      </c>
      <c r="Q71" s="4">
        <f ca="1">IF(Tariff_SimCalculation!$W$3&lt;&gt;1,IF(AND($N71&lt;&gt;1,$D71="Exit"),P71*P$89,P71),IF($N71&lt;&gt;1,P71*P$90,P71))</f>
        <v>0</v>
      </c>
      <c r="R71" s="4">
        <f ca="1">IF(Tariff_SimCalculation!$W$3&lt;&gt;1,IF(AND($N71&lt;&gt;1,$D71="Exit"),Q71*Q$89,Q71),IF($N71&lt;&gt;1,Q71*Q$90,Q71))</f>
        <v>0</v>
      </c>
      <c r="S71" s="155"/>
      <c r="T71" s="155"/>
      <c r="U71" s="513"/>
      <c r="W71" s="513"/>
      <c r="AD71" s="157"/>
      <c r="AE71" s="155"/>
      <c r="AF71" s="155"/>
      <c r="AG71" s="158"/>
      <c r="AH71" s="158"/>
      <c r="AR71" s="64"/>
      <c r="AS71" s="64"/>
    </row>
    <row r="72" spans="1:45">
      <c r="A72" s="59"/>
      <c r="C72" s="14" t="s">
        <v>0</v>
      </c>
      <c r="D72" t="s">
        <v>21</v>
      </c>
      <c r="E72" t="s">
        <v>31</v>
      </c>
      <c r="F72" t="s">
        <v>25</v>
      </c>
      <c r="G72" s="12">
        <f ca="1">OFFSET(Tariff_SimCalculation!O74,,$C$4-rpm_start_year)</f>
        <v>7991748.5196698848</v>
      </c>
      <c r="H72" s="12">
        <f ca="1">OFFSET(Tariff_SimCalculation!R74,,$C$4-rpm_start_year)</f>
        <v>8672911.2795048263</v>
      </c>
      <c r="I72" s="474">
        <v>0</v>
      </c>
      <c r="J72" s="469">
        <f t="shared" ca="1" si="25"/>
        <v>0</v>
      </c>
      <c r="K72" s="511" t="str">
        <f t="shared" si="26"/>
        <v/>
      </c>
      <c r="L72" s="516"/>
      <c r="M72" s="4">
        <f t="shared" ref="M72:M77" ca="1" si="29">IF(D72="Entry",INDEX($AS$109:$AT$118,MATCH(F72,$D$109:$D$118,0),IF(E72="FZK",1,2)),INDEX($E$132:$AC$133,IF(E72="FZK",1,2),MATCH(F72,$E$108:$AC$108,0)))</f>
        <v>0</v>
      </c>
      <c r="N72" s="62"/>
      <c r="O72" s="4">
        <f t="shared" ca="1" si="28"/>
        <v>0</v>
      </c>
      <c r="P72" s="66">
        <f ca="1">IF(Tariff_SimCalculation!$W$3&lt;&gt;1,IF(AND($N72&lt;&gt;1,$D72="Exit"),O72*O$89,O72),IF($N72&lt;&gt;1,O72*O$90,O72))</f>
        <v>0</v>
      </c>
      <c r="Q72" s="4">
        <f ca="1">IF(Tariff_SimCalculation!$W$3&lt;&gt;1,IF(AND($N72&lt;&gt;1,$D72="Exit"),P72*P$89,P72),IF($N72&lt;&gt;1,P72*P$90,P72))</f>
        <v>0</v>
      </c>
      <c r="R72" s="4">
        <f ca="1">IF(Tariff_SimCalculation!$W$3&lt;&gt;1,IF(AND($N72&lt;&gt;1,$D72="Exit"),Q72*Q$89,Q72),IF($N72&lt;&gt;1,Q72*Q$90,Q72))</f>
        <v>0</v>
      </c>
      <c r="S72" s="155"/>
      <c r="T72" s="155"/>
      <c r="U72" s="513"/>
      <c r="W72" s="513"/>
      <c r="AD72" s="157"/>
      <c r="AE72" s="155"/>
      <c r="AF72" s="155"/>
      <c r="AG72" s="158"/>
      <c r="AH72" s="158"/>
      <c r="AR72" s="64"/>
      <c r="AS72" s="64"/>
    </row>
    <row r="73" spans="1:45">
      <c r="A73" s="59"/>
      <c r="C73" s="14" t="s">
        <v>0</v>
      </c>
      <c r="D73" s="1" t="s">
        <v>30</v>
      </c>
      <c r="E73" t="s">
        <v>31</v>
      </c>
      <c r="F73" t="s">
        <v>56</v>
      </c>
      <c r="G73" s="12">
        <f ca="1">OFFSET(Tariff_SimCalculation!O75,,$C$4-rpm_start_year)</f>
        <v>0</v>
      </c>
      <c r="H73" s="12">
        <f ca="1">OFFSET(Tariff_SimCalculation!R75,,$C$4-rpm_start_year)</f>
        <v>0</v>
      </c>
      <c r="I73" s="474">
        <v>0.44</v>
      </c>
      <c r="J73" s="469">
        <f t="shared" ca="1" si="25"/>
        <v>2.1537336233761084</v>
      </c>
      <c r="K73" s="511" t="str">
        <f t="shared" si="26"/>
        <v/>
      </c>
      <c r="L73" s="13"/>
      <c r="M73" s="4">
        <f t="shared" ca="1" si="29"/>
        <v>2.0048693054652107</v>
      </c>
      <c r="N73" s="62"/>
      <c r="O73" s="4">
        <f t="shared" ca="1" si="28"/>
        <v>2.0048693054652107</v>
      </c>
      <c r="P73" s="66">
        <f ca="1">IF(Tariff_SimCalculation!$W$3&lt;&gt;1,IF(AND($N73&lt;&gt;1,$D73="Exit"),O73*O$89,O73),IF($N73&lt;&gt;1,O73*O$90,O73))</f>
        <v>2.1537336233761084</v>
      </c>
      <c r="Q73" s="4">
        <f ca="1">IF(Tariff_SimCalculation!$W$3&lt;&gt;1,IF(AND($N73&lt;&gt;1,$D73="Exit"),P73*P$89,P73),IF($N73&lt;&gt;1,P73*P$90,P73))</f>
        <v>2.153733623376108</v>
      </c>
      <c r="R73" s="4">
        <f ca="1">IF(Tariff_SimCalculation!$W$3&lt;&gt;1,IF(AND($N73&lt;&gt;1,$D73="Exit"),Q73*Q$89,Q73),IF($N73&lt;&gt;1,Q73*Q$90,Q73))</f>
        <v>2.1537336233761084</v>
      </c>
      <c r="S73" s="155"/>
      <c r="T73" s="155"/>
      <c r="U73" s="513"/>
      <c r="W73" s="513"/>
      <c r="AD73" s="157"/>
      <c r="AE73" s="155"/>
      <c r="AF73" s="155"/>
      <c r="AG73" s="158"/>
      <c r="AH73" s="158"/>
      <c r="AQ73" s="1"/>
      <c r="AR73" s="64"/>
      <c r="AS73" s="64"/>
    </row>
    <row r="74" spans="1:45">
      <c r="A74" s="59"/>
      <c r="C74" s="56" t="s">
        <v>0</v>
      </c>
      <c r="D74" s="50" t="s">
        <v>30</v>
      </c>
      <c r="E74" s="49" t="s">
        <v>31</v>
      </c>
      <c r="F74" s="49" t="s">
        <v>25</v>
      </c>
      <c r="G74" s="467">
        <f ca="1">OFFSET(Tariff_SimCalculation!O76,,$C$4-rpm_start_year)</f>
        <v>7259625.5002553957</v>
      </c>
      <c r="H74" s="467">
        <f ca="1">OFFSET(Tariff_SimCalculation!R76,,$C$4-rpm_start_year)</f>
        <v>7574726.750383094</v>
      </c>
      <c r="I74" s="475">
        <v>0.44</v>
      </c>
      <c r="J74" s="524">
        <f t="shared" ca="1" si="25"/>
        <v>1.0740053140783503</v>
      </c>
      <c r="K74" s="511" t="str">
        <f t="shared" si="26"/>
        <v/>
      </c>
      <c r="L74" s="13"/>
      <c r="M74" s="4">
        <f t="shared" ca="1" si="29"/>
        <v>0.99977093951241403</v>
      </c>
      <c r="N74" s="62"/>
      <c r="O74" s="4">
        <f t="shared" ca="1" si="28"/>
        <v>0.99977093951241403</v>
      </c>
      <c r="P74" s="66">
        <f ca="1">IF(Tariff_SimCalculation!$W$3&lt;&gt;1,IF(AND($N74&lt;&gt;1,$D74="Exit"),O74*O$89,O74),IF($N74&lt;&gt;1,O74*O$90,O74))</f>
        <v>1.0740053140783503</v>
      </c>
      <c r="Q74" s="4">
        <f ca="1">IF(Tariff_SimCalculation!$W$3&lt;&gt;1,IF(AND($N74&lt;&gt;1,$D74="Exit"),P74*P$89,P74),IF($N74&lt;&gt;1,P74*P$90,P74))</f>
        <v>1.0740053140783501</v>
      </c>
      <c r="R74" s="4">
        <f ca="1">IF(Tariff_SimCalculation!$W$3&lt;&gt;1,IF(AND($N74&lt;&gt;1,$D74="Exit"),Q74*Q$89,Q74),IF($N74&lt;&gt;1,Q74*Q$90,Q74))</f>
        <v>1.0740053140783503</v>
      </c>
      <c r="S74" s="155"/>
      <c r="T74" s="155"/>
      <c r="U74" s="513"/>
      <c r="W74" s="513"/>
      <c r="AD74" s="157"/>
      <c r="AE74" s="155"/>
      <c r="AF74" s="155"/>
      <c r="AG74" s="158"/>
      <c r="AH74" s="158"/>
      <c r="AQ74" s="1"/>
      <c r="AR74" s="64"/>
      <c r="AS74" s="64"/>
    </row>
    <row r="75" spans="1:45">
      <c r="A75" s="59"/>
      <c r="C75" s="1" t="s">
        <v>13</v>
      </c>
      <c r="D75" t="s">
        <v>21</v>
      </c>
      <c r="E75" t="s">
        <v>31</v>
      </c>
      <c r="F75" t="s">
        <v>22</v>
      </c>
      <c r="G75" s="12">
        <f ca="1">OFFSET(Tariff_SimCalculation!O77,,$C$4-rpm_start_year)</f>
        <v>9211831.2526531722</v>
      </c>
      <c r="H75" s="12">
        <f ca="1">OFFSET(Tariff_SimCalculation!R77,,$C$4-rpm_start_year)</f>
        <v>9697898.3789797593</v>
      </c>
      <c r="I75" s="474">
        <v>0.84700000000000009</v>
      </c>
      <c r="J75" s="469">
        <f t="shared" ca="1" si="25"/>
        <v>1.372598089052816</v>
      </c>
      <c r="K75" s="511" t="str">
        <f t="shared" si="26"/>
        <v/>
      </c>
      <c r="L75" s="13"/>
      <c r="M75" s="4">
        <f t="shared" ca="1" si="29"/>
        <v>1.2777252245189243</v>
      </c>
      <c r="N75" s="62"/>
      <c r="O75" s="4">
        <f t="shared" ca="1" si="28"/>
        <v>1.2777252245189243</v>
      </c>
      <c r="P75" s="66">
        <f ca="1">IF(Tariff_SimCalculation!$W$3&lt;&gt;1,IF(AND($N75&lt;&gt;1,$D75="Exit"),O75*O$89,O75),IF($N75&lt;&gt;1,O75*O$90,O75))</f>
        <v>1.372598089052816</v>
      </c>
      <c r="Q75" s="4">
        <f ca="1">IF(Tariff_SimCalculation!$W$3&lt;&gt;1,IF(AND($N75&lt;&gt;1,$D75="Exit"),P75*P$89,P75),IF($N75&lt;&gt;1,P75*P$90,P75))</f>
        <v>1.3725980890528158</v>
      </c>
      <c r="R75" s="4">
        <f ca="1">IF(Tariff_SimCalculation!$W$3&lt;&gt;1,IF(AND($N75&lt;&gt;1,$D75="Exit"),Q75*Q$89,Q75),IF($N75&lt;&gt;1,Q75*Q$90,Q75))</f>
        <v>1.372598089052816</v>
      </c>
      <c r="S75" s="155"/>
      <c r="T75" s="155"/>
      <c r="U75" s="513"/>
      <c r="W75" s="513"/>
      <c r="AD75" s="157"/>
      <c r="AE75" s="155"/>
      <c r="AF75" s="155"/>
      <c r="AG75" s="158"/>
      <c r="AH75" s="158"/>
      <c r="AR75" s="64"/>
      <c r="AS75" s="64"/>
    </row>
    <row r="76" spans="1:45">
      <c r="A76" s="59"/>
      <c r="C76" s="1" t="s">
        <v>13</v>
      </c>
      <c r="D76" t="s">
        <v>21</v>
      </c>
      <c r="E76" t="s">
        <v>31</v>
      </c>
      <c r="F76" t="s">
        <v>20</v>
      </c>
      <c r="G76" s="12">
        <f ca="1">OFFSET(Tariff_SimCalculation!O78,,$C$4-rpm_start_year)</f>
        <v>8746377.1931971237</v>
      </c>
      <c r="H76" s="12">
        <f ca="1">OFFSET(Tariff_SimCalculation!R78,,$C$4-rpm_start_year)</f>
        <v>9181042.8058602996</v>
      </c>
      <c r="I76" s="474">
        <v>0.97</v>
      </c>
      <c r="J76" s="469">
        <f t="shared" ca="1" si="25"/>
        <v>1.372598089052816</v>
      </c>
      <c r="K76" s="511" t="str">
        <f t="shared" si="26"/>
        <v/>
      </c>
      <c r="L76" s="13"/>
      <c r="M76" s="4">
        <f t="shared" ca="1" si="29"/>
        <v>1.2777252245189243</v>
      </c>
      <c r="N76" s="62"/>
      <c r="O76" s="4">
        <f t="shared" ca="1" si="28"/>
        <v>1.2777252245189243</v>
      </c>
      <c r="P76" s="66">
        <f ca="1">IF(Tariff_SimCalculation!$W$3&lt;&gt;1,IF(AND($N76&lt;&gt;1,$D76="Exit"),O76*O$89,O76),IF($N76&lt;&gt;1,O76*O$90,O76))</f>
        <v>1.372598089052816</v>
      </c>
      <c r="Q76" s="4">
        <f ca="1">IF(Tariff_SimCalculation!$W$3&lt;&gt;1,IF(AND($N76&lt;&gt;1,$D76="Exit"),P76*P$89,P76),IF($N76&lt;&gt;1,P76*P$90,P76))</f>
        <v>1.3725980890528158</v>
      </c>
      <c r="R76" s="4">
        <f ca="1">IF(Tariff_SimCalculation!$W$3&lt;&gt;1,IF(AND($N76&lt;&gt;1,$D76="Exit"),Q76*Q$89,Q76),IF($N76&lt;&gt;1,Q76*Q$90,Q76))</f>
        <v>1.372598089052816</v>
      </c>
      <c r="S76" s="155"/>
      <c r="T76" s="155"/>
      <c r="U76" s="513"/>
      <c r="W76" s="513"/>
      <c r="AD76" s="157"/>
      <c r="AE76" s="155"/>
      <c r="AF76" s="155"/>
      <c r="AG76" s="158"/>
      <c r="AH76" s="158"/>
      <c r="AR76" s="64"/>
      <c r="AS76" s="64"/>
    </row>
    <row r="77" spans="1:45">
      <c r="A77" s="59"/>
      <c r="C77" s="1" t="s">
        <v>13</v>
      </c>
      <c r="D77" s="1" t="s">
        <v>30</v>
      </c>
      <c r="E77" t="s">
        <v>31</v>
      </c>
      <c r="F77" t="s">
        <v>20</v>
      </c>
      <c r="G77" s="12">
        <f ca="1">OFFSET(Tariff_SimCalculation!O79,,$C$4-rpm_start_year)</f>
        <v>6683747</v>
      </c>
      <c r="H77" s="12">
        <f ca="1">OFFSET(Tariff_SimCalculation!R79,,$C$4-rpm_start_year)</f>
        <v>6683747</v>
      </c>
      <c r="I77" s="474">
        <v>4.3499999999999996</v>
      </c>
      <c r="J77" s="469">
        <f t="shared" ca="1" si="25"/>
        <v>5.9796699217300029</v>
      </c>
      <c r="K77" s="511" t="str">
        <f t="shared" si="26"/>
        <v/>
      </c>
      <c r="L77" s="13"/>
      <c r="M77" s="4">
        <f t="shared" ca="1" si="29"/>
        <v>5.5663599958556649</v>
      </c>
      <c r="N77" s="62"/>
      <c r="O77" s="4">
        <f t="shared" ca="1" si="28"/>
        <v>5.5663599958556649</v>
      </c>
      <c r="P77" s="66">
        <f ca="1">IF(Tariff_SimCalculation!$W$3&lt;&gt;1,IF(AND($N77&lt;&gt;1,$D77="Exit"),O77*O$89,O77),IF($N77&lt;&gt;1,O77*O$90,O77))</f>
        <v>5.9796699217300029</v>
      </c>
      <c r="Q77" s="4">
        <f ca="1">IF(Tariff_SimCalculation!$W$3&lt;&gt;1,IF(AND($N77&lt;&gt;1,$D77="Exit"),P77*P$89,P77),IF($N77&lt;&gt;1,P77*P$90,P77))</f>
        <v>5.979669921730002</v>
      </c>
      <c r="R77" s="4">
        <f ca="1">IF(Tariff_SimCalculation!$W$3&lt;&gt;1,IF(AND($N77&lt;&gt;1,$D77="Exit"),Q77*Q$89,Q77),IF($N77&lt;&gt;1,Q77*Q$90,Q77))</f>
        <v>5.9796699217300029</v>
      </c>
      <c r="S77" s="155"/>
      <c r="T77" s="155"/>
      <c r="U77" s="513"/>
      <c r="W77" s="513"/>
      <c r="AD77" s="157"/>
      <c r="AE77" s="155"/>
      <c r="AF77" s="155"/>
      <c r="AG77" s="158"/>
      <c r="AH77" s="158"/>
      <c r="AQ77" s="1"/>
      <c r="AR77" s="64"/>
      <c r="AS77" s="64"/>
    </row>
    <row r="78" spans="1:45">
      <c r="A78" s="59"/>
      <c r="C78" s="1" t="s">
        <v>13</v>
      </c>
      <c r="D78" s="1" t="s">
        <v>30</v>
      </c>
      <c r="E78" t="s">
        <v>31</v>
      </c>
      <c r="F78" t="s">
        <v>35</v>
      </c>
      <c r="G78" s="12">
        <f ca="1">OFFSET(Tariff_SimCalculation!O80,,$C$4-rpm_start_year)</f>
        <v>3562671.9999999963</v>
      </c>
      <c r="H78" s="12">
        <f ca="1">OFFSET(Tariff_SimCalculation!R80,,$C$4-rpm_start_year)</f>
        <v>3562671.9999999963</v>
      </c>
      <c r="I78" s="474">
        <v>0.42</v>
      </c>
      <c r="J78" s="469">
        <f ca="1">R78</f>
        <v>1.26</v>
      </c>
      <c r="K78" s="511">
        <f t="shared" si="26"/>
        <v>1.26</v>
      </c>
      <c r="L78" s="13"/>
      <c r="M78" s="508">
        <f ca="1">$N$132</f>
        <v>1.7616704333006232</v>
      </c>
      <c r="N78" s="509">
        <f>N66</f>
        <v>1</v>
      </c>
      <c r="O78" s="508">
        <f ca="1">O66</f>
        <v>1.26</v>
      </c>
      <c r="P78" s="523">
        <f ca="1">P66</f>
        <v>1.26</v>
      </c>
      <c r="Q78" s="508">
        <f ca="1">Q66</f>
        <v>1.26</v>
      </c>
      <c r="R78" s="508">
        <f ca="1">R66</f>
        <v>1.26</v>
      </c>
      <c r="S78" s="155"/>
      <c r="T78" s="155"/>
      <c r="U78" s="513"/>
      <c r="W78" s="513"/>
      <c r="AD78" s="157"/>
      <c r="AE78" s="155"/>
      <c r="AF78" s="155"/>
      <c r="AG78" s="158"/>
      <c r="AH78" s="158"/>
      <c r="AQ78" s="1"/>
      <c r="AR78" s="64"/>
      <c r="AS78" s="64"/>
    </row>
    <row r="79" spans="1:45">
      <c r="A79" s="59"/>
      <c r="C79" s="1" t="s">
        <v>13</v>
      </c>
      <c r="D79" s="1" t="s">
        <v>30</v>
      </c>
      <c r="E79" t="s">
        <v>31</v>
      </c>
      <c r="F79" t="s">
        <v>36</v>
      </c>
      <c r="G79" s="12">
        <f ca="1">OFFSET(Tariff_SimCalculation!O81,,$C$4-rpm_start_year)</f>
        <v>471870.99999999959</v>
      </c>
      <c r="H79" s="12">
        <f ca="1">OFFSET(Tariff_SimCalculation!R81,,$C$4-rpm_start_year)</f>
        <v>471870.99999999959</v>
      </c>
      <c r="I79" s="474">
        <v>3.85</v>
      </c>
      <c r="J79" s="469">
        <f t="shared" ca="1" si="25"/>
        <v>4.626999160188296</v>
      </c>
      <c r="K79" s="511">
        <f>IF(N79=1,I79*(1+$O$51),"")</f>
        <v>11.55</v>
      </c>
      <c r="L79" s="13"/>
      <c r="M79" s="4">
        <f ca="1">$Z$132</f>
        <v>4.3071847381633468</v>
      </c>
      <c r="N79" s="62">
        <f>+N66</f>
        <v>1</v>
      </c>
      <c r="O79" s="4">
        <f ca="1">IF(Tariff_SimCalculation!$W$4=1,O66,IF(N79=1,MIN(M$79,I79*(1+$O$51)),M79))</f>
        <v>4.3071847381633468</v>
      </c>
      <c r="P79" s="66">
        <f ca="1">IF(Tariff_SimCalculation!$W$4=1,O78,IF(Tariff_SimCalculation!$W$3&lt;&gt;1,IF(AND($N79&lt;&gt;1,$D79="Exit"),O79*O$89,MIN(MAX(O79,O79*O$89),$I79*(1+$O$51))),IF($N79&lt;&gt;1,O79*O$90,MIN(MAX(O79,O79*O$90),$I79*(1+$O$51)))))</f>
        <v>4.6269991601882952</v>
      </c>
      <c r="Q79" s="4">
        <f ca="1">IF(Tariff_SimCalculation!$W$4=1,P78,IF(Tariff_SimCalculation!$W$3&lt;&gt;1,IF(AND($N79&lt;&gt;1,$D79="Exit"),P79*P$89,MIN(MAX(P79,P79*P$89),$I79*(1+$O$51))),IF($N79&lt;&gt;1,P79*P$90,MIN(MAX(P79,P79*P$90),$I79*(1+$O$51)))))</f>
        <v>4.6269991601882952</v>
      </c>
      <c r="R79" s="4">
        <f ca="1">IF(Tariff_SimCalculation!$W$4=1,Q78,IF(Tariff_SimCalculation!$W$3&lt;&gt;1,IF(AND($N79&lt;&gt;1,$D79="Exit"),Q79*Q$89,MIN(MAX(Q79,Q79*Q$89),$I79*(1+$O$51))),IF($N79&lt;&gt;1,Q79*Q$90,MIN(MAX(Q79,Q79*Q$90),$I79*(1+$O$51)))))</f>
        <v>4.626999160188296</v>
      </c>
      <c r="S79" s="155"/>
      <c r="T79" s="155"/>
      <c r="U79" s="513"/>
      <c r="W79" s="513"/>
      <c r="AD79" s="157"/>
      <c r="AE79" s="155"/>
      <c r="AF79" s="155"/>
      <c r="AG79" s="158"/>
      <c r="AH79" s="158"/>
      <c r="AQ79" s="1"/>
      <c r="AR79" s="64"/>
      <c r="AS79" s="64"/>
    </row>
    <row r="80" spans="1:45">
      <c r="A80" s="59"/>
      <c r="C80" s="50" t="s">
        <v>13</v>
      </c>
      <c r="D80" s="49" t="s">
        <v>21</v>
      </c>
      <c r="E80" s="51" t="s">
        <v>32</v>
      </c>
      <c r="F80" s="49" t="s">
        <v>20</v>
      </c>
      <c r="G80" s="467">
        <f ca="1">OFFSET(Tariff_SimCalculation!O82,,$C$4-rpm_start_year)</f>
        <v>521331</v>
      </c>
      <c r="H80" s="467">
        <f ca="1">OFFSET(Tariff_SimCalculation!R82,,$C$4-rpm_start_year)</f>
        <v>521331</v>
      </c>
      <c r="I80" s="475">
        <v>0.68</v>
      </c>
      <c r="J80" s="524">
        <f t="shared" ca="1" si="25"/>
        <v>1.2353382801475343</v>
      </c>
      <c r="K80" s="511" t="str">
        <f t="shared" si="26"/>
        <v/>
      </c>
      <c r="L80" s="13"/>
      <c r="M80" s="504">
        <f ca="1">IF(D80="Entry",INDEX($AS$109:$AT$118,MATCH(F80,$D$109:$D$118,0),IF(E80="FZK",1,2)),INDEX($E$132:$AC$133,IF(E80="FZK",1,2),MATCH(F80,$E$108:$AC$108,0)))</f>
        <v>1.1499527020670319</v>
      </c>
      <c r="N80" s="505"/>
      <c r="O80" s="506">
        <f ca="1">O76*(1-discount_DZK)</f>
        <v>1.1499527020670319</v>
      </c>
      <c r="P80" s="522">
        <f ca="1">P76*(1-discount_DZK)</f>
        <v>1.2353382801475343</v>
      </c>
      <c r="Q80" s="506">
        <f ca="1">Q76*(1-discount_DZK)</f>
        <v>1.2353382801475343</v>
      </c>
      <c r="R80" s="506">
        <f ca="1">R76*(1-discount_DZK)</f>
        <v>1.2353382801475343</v>
      </c>
      <c r="S80" s="155"/>
      <c r="T80" s="155"/>
      <c r="U80" s="513"/>
      <c r="W80" s="513"/>
      <c r="AD80" s="157"/>
      <c r="AE80" s="155"/>
      <c r="AF80" s="155"/>
      <c r="AG80" s="158"/>
      <c r="AH80" s="158"/>
      <c r="AR80" s="64"/>
      <c r="AS80" s="64"/>
    </row>
    <row r="81" spans="3:34">
      <c r="C81" s="232" t="s">
        <v>0</v>
      </c>
      <c r="D81" s="58" t="s">
        <v>30</v>
      </c>
      <c r="E81" s="148" t="s">
        <v>31</v>
      </c>
      <c r="F81" s="148" t="s">
        <v>40</v>
      </c>
      <c r="G81" s="12">
        <f ca="1">OFFSET(Tariff_SimCalculation!O83,,$C$4-rpm_start_year)</f>
        <v>0</v>
      </c>
      <c r="H81" s="12">
        <f ca="1">OFFSET(Tariff_SimCalculation!R83,,$C$4-rpm_start_year)</f>
        <v>0</v>
      </c>
      <c r="I81" s="148"/>
      <c r="J81" s="470">
        <f ca="1">J66</f>
        <v>1.26</v>
      </c>
      <c r="K81" s="5"/>
      <c r="L81" s="510"/>
      <c r="M81" s="149"/>
      <c r="O81" s="441"/>
      <c r="R81" s="157"/>
      <c r="S81" s="155"/>
      <c r="T81" s="155"/>
      <c r="U81" s="512"/>
      <c r="W81" s="512"/>
      <c r="AD81" s="157"/>
      <c r="AE81" s="155"/>
      <c r="AF81" s="155"/>
      <c r="AG81" s="155"/>
      <c r="AH81" s="155"/>
    </row>
    <row r="82" spans="3:34">
      <c r="C82" s="232" t="s">
        <v>0</v>
      </c>
      <c r="D82" s="58" t="s">
        <v>30</v>
      </c>
      <c r="E82" s="59" t="s">
        <v>32</v>
      </c>
      <c r="F82" s="148" t="s">
        <v>40</v>
      </c>
      <c r="G82" s="12">
        <f ca="1">OFFSET(Tariff_SimCalculation!O84,,$C$4-rpm_start_year)</f>
        <v>4635629</v>
      </c>
      <c r="H82" s="12">
        <f ca="1">OFFSET(Tariff_SimCalculation!R84,,$C$4-rpm_start_year)</f>
        <v>4635629</v>
      </c>
      <c r="I82" s="148"/>
      <c r="J82" s="470">
        <f ca="1">J69</f>
        <v>1.1340000000000001</v>
      </c>
      <c r="K82" s="5"/>
      <c r="L82" s="510"/>
      <c r="R82" s="157"/>
      <c r="S82" s="155"/>
      <c r="T82" s="155"/>
      <c r="U82" s="155"/>
      <c r="V82" s="155"/>
      <c r="AD82" s="157"/>
      <c r="AE82" s="155"/>
      <c r="AF82" s="155"/>
      <c r="AG82" s="155"/>
      <c r="AH82" s="155"/>
    </row>
    <row r="83" spans="3:34">
      <c r="C83" s="232" t="s">
        <v>0</v>
      </c>
      <c r="D83" s="58" t="s">
        <v>30</v>
      </c>
      <c r="E83" s="148" t="s">
        <v>31</v>
      </c>
      <c r="F83" s="148" t="s">
        <v>41</v>
      </c>
      <c r="G83" s="12">
        <f ca="1">OFFSET(Tariff_SimCalculation!O85,,$C$4-rpm_start_year)</f>
        <v>0</v>
      </c>
      <c r="H83" s="12">
        <f ca="1">OFFSET(Tariff_SimCalculation!R85,,$C$4-rpm_start_year)</f>
        <v>0</v>
      </c>
      <c r="I83" s="148"/>
      <c r="J83" s="470">
        <f ca="1">$J$81</f>
        <v>1.26</v>
      </c>
      <c r="K83" s="5"/>
      <c r="L83" s="510"/>
      <c r="M83" s="149" t="s">
        <v>338</v>
      </c>
      <c r="N83" t="s">
        <v>340</v>
      </c>
      <c r="O83" s="5">
        <f ca="1">$C$7*$AM$132</f>
        <v>62256230.097359709</v>
      </c>
      <c r="P83" s="5">
        <f ca="1">$C$7*$AM$132</f>
        <v>62256230.097359709</v>
      </c>
      <c r="Q83" s="5">
        <f ca="1">$C$7*$AM$132</f>
        <v>62256230.097359709</v>
      </c>
      <c r="R83" s="157"/>
      <c r="S83" s="155"/>
      <c r="T83" s="155"/>
      <c r="U83" s="155"/>
      <c r="V83" s="155"/>
      <c r="AD83" s="157"/>
      <c r="AE83" s="155"/>
      <c r="AF83" s="155"/>
      <c r="AG83" s="155"/>
      <c r="AH83" s="155"/>
    </row>
    <row r="84" spans="3:34">
      <c r="C84" s="232" t="s">
        <v>0</v>
      </c>
      <c r="D84" s="58" t="s">
        <v>30</v>
      </c>
      <c r="E84" s="148" t="s">
        <v>31</v>
      </c>
      <c r="F84" s="148" t="s">
        <v>42</v>
      </c>
      <c r="G84" s="12">
        <f ca="1">OFFSET(Tariff_SimCalculation!O86,,$C$4-rpm_start_year)</f>
        <v>0</v>
      </c>
      <c r="H84" s="12">
        <f ca="1">OFFSET(Tariff_SimCalculation!R86,,$C$4-rpm_start_year)</f>
        <v>0</v>
      </c>
      <c r="I84" s="148"/>
      <c r="J84" s="470">
        <f ca="1">$J$81</f>
        <v>1.26</v>
      </c>
      <c r="K84" s="5"/>
      <c r="L84" s="510"/>
      <c r="M84" s="149" t="s">
        <v>338</v>
      </c>
      <c r="N84" t="s">
        <v>339</v>
      </c>
      <c r="O84" s="5">
        <f ca="1">SUMPRODUCT(O$53:O$80,$G$53:$G$80*("Entry"=$D$53:$D$80))</f>
        <v>62256230.097359717</v>
      </c>
      <c r="P84" s="5">
        <f ca="1">SUMPRODUCT(P$53:P$80,$G$53:$G$80*("Entry"=$D$53:$D$80))</f>
        <v>66878841.259036854</v>
      </c>
      <c r="Q84" s="5">
        <f ca="1">SUMPRODUCT(Q$53:Q$80,$G$53:$G$80*("Entry"=$D$53:$D$80))</f>
        <v>66878841.259036846</v>
      </c>
      <c r="R84" s="157"/>
      <c r="S84" s="155"/>
      <c r="T84" s="155"/>
      <c r="U84" s="155"/>
      <c r="V84" s="155"/>
      <c r="AD84" s="157"/>
      <c r="AE84" s="155"/>
      <c r="AF84" s="155"/>
      <c r="AG84" s="155"/>
      <c r="AH84" s="155"/>
    </row>
    <row r="85" spans="3:34">
      <c r="C85" s="232" t="s">
        <v>0</v>
      </c>
      <c r="D85" s="58" t="s">
        <v>30</v>
      </c>
      <c r="E85" s="148" t="s">
        <v>31</v>
      </c>
      <c r="F85" s="148" t="s">
        <v>43</v>
      </c>
      <c r="G85" s="12">
        <f ca="1">OFFSET(Tariff_SimCalculation!O87,,$C$4-rpm_start_year)</f>
        <v>0</v>
      </c>
      <c r="H85" s="12">
        <f ca="1">OFFSET(Tariff_SimCalculation!R87,,$C$4-rpm_start_year)</f>
        <v>0</v>
      </c>
      <c r="I85" s="233"/>
      <c r="J85" s="470">
        <f ca="1">$J$81</f>
        <v>1.26</v>
      </c>
      <c r="K85" s="5"/>
      <c r="L85" s="510"/>
      <c r="M85" s="149" t="s">
        <v>229</v>
      </c>
      <c r="N85" t="s">
        <v>340</v>
      </c>
      <c r="O85" s="5">
        <f ca="1">$C$7*(1-$AM$132)</f>
        <v>204344469.67277721</v>
      </c>
      <c r="P85" s="5">
        <f ca="1">$C$7*(1-$AM$132)</f>
        <v>204344469.67277721</v>
      </c>
      <c r="Q85" s="5">
        <f ca="1">$C$7*(1-$AM$132)</f>
        <v>204344469.67277721</v>
      </c>
      <c r="R85" s="157"/>
      <c r="S85" s="155"/>
      <c r="T85" s="155"/>
      <c r="U85" s="158"/>
      <c r="V85" s="333"/>
      <c r="AD85" s="157"/>
      <c r="AE85" s="155"/>
      <c r="AF85" s="155"/>
      <c r="AG85" s="158"/>
      <c r="AH85" s="333"/>
    </row>
    <row r="86" spans="3:34">
      <c r="C86" s="232" t="s">
        <v>0</v>
      </c>
      <c r="D86" s="58" t="s">
        <v>30</v>
      </c>
      <c r="E86" s="148" t="s">
        <v>31</v>
      </c>
      <c r="F86" s="148" t="s">
        <v>44</v>
      </c>
      <c r="G86" s="12">
        <f ca="1">OFFSET(Tariff_SimCalculation!O88,,$C$4-rpm_start_year)</f>
        <v>0</v>
      </c>
      <c r="H86" s="12">
        <f ca="1">OFFSET(Tariff_SimCalculation!R88,,$C$4-rpm_start_year)</f>
        <v>0</v>
      </c>
      <c r="I86" s="148"/>
      <c r="J86" s="470">
        <f ca="1">$J$81</f>
        <v>1.26</v>
      </c>
      <c r="K86" s="5"/>
      <c r="L86" s="510"/>
      <c r="M86" s="149" t="s">
        <v>229</v>
      </c>
      <c r="N86" t="s">
        <v>332</v>
      </c>
      <c r="O86" s="5">
        <f ca="1">SUMPRODUCT(O$53:O$80*($N$53:$N$80&lt;&gt;1),$G$53:$G$80*("Exit"=$D$53:$D$80))+SUMPRODUCT(O$53:O$80*($N$53:$N$80=1)*(($I$53:$I$80*(1+$O$51))&gt;O53:O80),$G$53:$G$80*("Exit"=$D$53:$D$80))</f>
        <v>149207127.45242539</v>
      </c>
      <c r="P86" s="5">
        <f ca="1">SUMPRODUCT(P$53:P$80*($N$53:$N$80&lt;&gt;1),$G$53:$G$80*("Exit"=$D$53:$D$80))+SUMPRODUCT(P$53:P$80*($N$53:$N$80=1)*(($I$53:$I$80*(1+$O$51))&gt;P53:P80),$G$53:$G$80*("Exit"=$D$53:$D$80))</f>
        <v>160285962.96310011</v>
      </c>
      <c r="Q86" s="5">
        <f ca="1">SUMPRODUCT(Q$53:Q$80*($N$53:$N$80&lt;&gt;1),$G$53:$G$80*("Exit"=$D$53:$D$80))+SUMPRODUCT(Q$53:Q$80*($N$53:$N$80=1)*(($I$53:$I$80*(1+$O$51))&gt;Q53:Q80),$G$53:$G$80*("Exit"=$D$53:$D$80))</f>
        <v>160285962.96310005</v>
      </c>
      <c r="R86" s="157"/>
      <c r="S86" s="155"/>
      <c r="T86" s="155"/>
      <c r="U86" s="158"/>
      <c r="V86" s="333"/>
      <c r="AD86" s="157"/>
      <c r="AE86" s="155"/>
      <c r="AF86" s="155"/>
      <c r="AG86" s="158"/>
      <c r="AH86" s="333"/>
    </row>
    <row r="87" spans="3:34">
      <c r="C87" s="232" t="s">
        <v>0</v>
      </c>
      <c r="D87" s="58" t="s">
        <v>30</v>
      </c>
      <c r="E87" s="59" t="s">
        <v>32</v>
      </c>
      <c r="F87" s="148" t="s">
        <v>44</v>
      </c>
      <c r="G87" s="12">
        <f ca="1">OFFSET(Tariff_SimCalculation!O89,,$C$4-rpm_start_year)</f>
        <v>2378663</v>
      </c>
      <c r="H87" s="12">
        <f ca="1">OFFSET(Tariff_SimCalculation!R89,,$C$4-rpm_start_year)</f>
        <v>2378663</v>
      </c>
      <c r="I87" s="148"/>
      <c r="J87" s="470">
        <f ca="1">J82</f>
        <v>1.1340000000000001</v>
      </c>
      <c r="K87" s="5"/>
      <c r="L87" s="510"/>
      <c r="M87" s="149" t="s">
        <v>229</v>
      </c>
      <c r="N87" t="s">
        <v>333</v>
      </c>
      <c r="O87" s="5">
        <f ca="1">SUMPRODUCT(O$53:O$80*($N$53:$N$80=1)*(($I$53:$I$80*(1+$O$51))&lt;=O53:O80),$G$53:$G$80*("Exit"=$D$53:$D$80))</f>
        <v>39435895.547999993</v>
      </c>
      <c r="P87" s="5">
        <f ca="1">SUMPRODUCT(P$53:P$80*($N$53:$N$80=1)*(($I$53:$I$80*(1+$O$51))&lt;=P53:P80),$G$53:$G$80*("Exit"=$D$53:$D$80))</f>
        <v>39435895.547999993</v>
      </c>
      <c r="Q87" s="5">
        <f ca="1">SUMPRODUCT(Q$53:Q$80*($N$53:$N$80=1)*(($I$53:$I$80*(1+$O$51))&lt;=Q53:Q80),$G$53:$G$80*("Exit"=$D$53:$D$80))</f>
        <v>39435895.547999993</v>
      </c>
      <c r="R87" s="157"/>
      <c r="S87" s="155"/>
      <c r="T87" s="155"/>
      <c r="U87" s="158"/>
      <c r="V87" s="333"/>
      <c r="AD87" s="157"/>
      <c r="AE87" s="155"/>
      <c r="AF87" s="155"/>
      <c r="AG87" s="158"/>
      <c r="AH87" s="333"/>
    </row>
    <row r="88" spans="3:34">
      <c r="C88" s="232" t="s">
        <v>0</v>
      </c>
      <c r="D88" s="58" t="s">
        <v>30</v>
      </c>
      <c r="E88" s="148" t="s">
        <v>31</v>
      </c>
      <c r="F88" s="148" t="s">
        <v>45</v>
      </c>
      <c r="G88" s="12">
        <f ca="1">OFFSET(Tariff_SimCalculation!O90,,$C$4-rpm_start_year)</f>
        <v>0</v>
      </c>
      <c r="H88" s="12">
        <f ca="1">OFFSET(Tariff_SimCalculation!R90,,$C$4-rpm_start_year)</f>
        <v>0</v>
      </c>
      <c r="I88" s="148"/>
      <c r="J88" s="470">
        <f t="shared" ref="J88:J94" ca="1" si="30">$J$81</f>
        <v>1.26</v>
      </c>
      <c r="K88" s="5"/>
      <c r="L88" s="510"/>
      <c r="M88" s="149" t="s">
        <v>229</v>
      </c>
      <c r="N88" t="s">
        <v>345</v>
      </c>
      <c r="O88" s="5">
        <f ca="1">O85-O87</f>
        <v>164908574.1247772</v>
      </c>
      <c r="P88" s="5">
        <f ca="1">P85-P87</f>
        <v>164908574.1247772</v>
      </c>
      <c r="Q88" s="5">
        <f ca="1">Q85-Q87</f>
        <v>164908574.1247772</v>
      </c>
      <c r="R88" s="157"/>
      <c r="S88" s="155"/>
      <c r="U88" s="500"/>
      <c r="V88" s="500"/>
      <c r="AD88" s="157"/>
      <c r="AE88" s="155"/>
      <c r="AF88" s="155"/>
      <c r="AG88" s="155"/>
      <c r="AH88" s="155"/>
    </row>
    <row r="89" spans="3:34">
      <c r="C89" s="471" t="s">
        <v>0</v>
      </c>
      <c r="D89" s="472" t="s">
        <v>30</v>
      </c>
      <c r="E89" s="473" t="s">
        <v>31</v>
      </c>
      <c r="F89" s="473" t="s">
        <v>46</v>
      </c>
      <c r="G89" s="467">
        <f ca="1">OFFSET(Tariff_SimCalculation!O91,,$C$4-rpm_start_year)</f>
        <v>21422795</v>
      </c>
      <c r="H89" s="467">
        <f ca="1">OFFSET(Tariff_SimCalculation!R91,,$C$4-rpm_start_year)</f>
        <v>21422795</v>
      </c>
      <c r="I89" s="473"/>
      <c r="J89" s="525">
        <f t="shared" ca="1" si="30"/>
        <v>1.26</v>
      </c>
      <c r="K89" s="5"/>
      <c r="L89" s="510"/>
      <c r="N89" t="s">
        <v>341</v>
      </c>
      <c r="O89" s="507">
        <f ca="1">O88/O86</f>
        <v>1.1052325511551597</v>
      </c>
      <c r="P89" s="507">
        <f ca="1">P88/P86</f>
        <v>1.0288397753379146</v>
      </c>
      <c r="Q89" s="507">
        <f ca="1">Q88/Q86</f>
        <v>1.0288397753379148</v>
      </c>
      <c r="R89" s="157"/>
      <c r="S89" s="155"/>
      <c r="U89" s="500"/>
      <c r="V89" s="500"/>
      <c r="AD89" s="157"/>
      <c r="AE89" s="155"/>
      <c r="AF89" s="155"/>
      <c r="AG89" s="155"/>
      <c r="AH89" s="155"/>
    </row>
    <row r="90" spans="3:34">
      <c r="C90" s="58" t="s">
        <v>13</v>
      </c>
      <c r="D90" s="58" t="s">
        <v>30</v>
      </c>
      <c r="E90" s="148" t="s">
        <v>31</v>
      </c>
      <c r="F90" s="148" t="s">
        <v>47</v>
      </c>
      <c r="G90" s="12">
        <f ca="1">OFFSET(Tariff_SimCalculation!O92,,$C$4-rpm_start_year)</f>
        <v>1111502.9999999988</v>
      </c>
      <c r="H90" s="12">
        <f ca="1">OFFSET(Tariff_SimCalculation!R92,,$C$4-rpm_start_year)</f>
        <v>1111502.9999999988</v>
      </c>
      <c r="I90" s="148"/>
      <c r="J90" s="470">
        <f t="shared" ca="1" si="30"/>
        <v>1.26</v>
      </c>
      <c r="K90" s="5"/>
      <c r="L90" s="510"/>
      <c r="M90" s="149"/>
      <c r="N90" t="s">
        <v>331</v>
      </c>
      <c r="O90" s="507">
        <f ca="1">(P92-O87)/(O84+O86)</f>
        <v>1.074251382623844</v>
      </c>
      <c r="P90" s="507">
        <f ca="1">(Q92-P87)/(P84+P86)</f>
        <v>0.99999999999999978</v>
      </c>
      <c r="Q90" s="507">
        <f ca="1">(R92-Q87)/(Q84+Q86)</f>
        <v>1.0000000000000002</v>
      </c>
      <c r="R90" s="157"/>
      <c r="S90" s="155"/>
      <c r="U90" s="500"/>
      <c r="AD90" s="157"/>
      <c r="AE90" s="155"/>
      <c r="AF90" s="155"/>
      <c r="AG90" s="155"/>
      <c r="AH90" s="155"/>
    </row>
    <row r="91" spans="3:34">
      <c r="C91" s="58" t="s">
        <v>13</v>
      </c>
      <c r="D91" s="58" t="s">
        <v>30</v>
      </c>
      <c r="E91" s="148" t="s">
        <v>31</v>
      </c>
      <c r="F91" s="148" t="s">
        <v>48</v>
      </c>
      <c r="G91" s="12">
        <f ca="1">OFFSET(Tariff_SimCalculation!O93,,$C$4-rpm_start_year)</f>
        <v>166730.99999999983</v>
      </c>
      <c r="H91" s="12">
        <f ca="1">OFFSET(Tariff_SimCalculation!R93,,$C$4-rpm_start_year)</f>
        <v>166730.99999999983</v>
      </c>
      <c r="I91" s="148"/>
      <c r="J91" s="470">
        <f t="shared" ca="1" si="30"/>
        <v>1.26</v>
      </c>
      <c r="K91" s="5"/>
      <c r="L91" s="510"/>
      <c r="M91" s="149"/>
      <c r="N91" t="s">
        <v>342</v>
      </c>
      <c r="O91" s="5">
        <f ca="1">SUMPRODUCT(O$53:O$80,$G$53:$G$80)</f>
        <v>250899253.09778512</v>
      </c>
      <c r="P91" s="5">
        <f ca="1">SUMPRODUCT(P$53:P$80,$G$53:$G$80)</f>
        <v>266600699.77013695</v>
      </c>
      <c r="Q91" s="5">
        <f ca="1">SUMPRODUCT(Q$53:Q$80,$G$53:$G$80)</f>
        <v>266600699.77013692</v>
      </c>
      <c r="R91" s="5">
        <f ca="1">SUMPRODUCT(R$53:R$80,$G$53:$G$80)</f>
        <v>266600699.77013695</v>
      </c>
      <c r="S91" s="155"/>
      <c r="U91" s="500"/>
      <c r="AD91" s="157"/>
      <c r="AE91" s="155"/>
      <c r="AF91" s="155"/>
      <c r="AG91" s="155"/>
      <c r="AH91" s="155"/>
    </row>
    <row r="92" spans="3:34">
      <c r="C92" s="58" t="s">
        <v>13</v>
      </c>
      <c r="D92" s="58" t="s">
        <v>30</v>
      </c>
      <c r="E92" s="148" t="s">
        <v>31</v>
      </c>
      <c r="F92" s="148" t="s">
        <v>49</v>
      </c>
      <c r="G92" s="12">
        <f ca="1">OFFSET(Tariff_SimCalculation!O94,,$C$4-rpm_start_year)</f>
        <v>221438.99999999977</v>
      </c>
      <c r="H92" s="12">
        <f ca="1">OFFSET(Tariff_SimCalculation!R94,,$C$4-rpm_start_year)</f>
        <v>221438.99999999977</v>
      </c>
      <c r="I92" s="148"/>
      <c r="J92" s="470">
        <f t="shared" ca="1" si="30"/>
        <v>1.26</v>
      </c>
      <c r="K92" s="5"/>
      <c r="L92" s="510"/>
      <c r="M92" s="149"/>
      <c r="N92" t="s">
        <v>344</v>
      </c>
      <c r="O92" s="5">
        <f ca="1">$C$7</f>
        <v>266600699.77013689</v>
      </c>
      <c r="P92" s="5">
        <f ca="1">$C$7</f>
        <v>266600699.77013689</v>
      </c>
      <c r="Q92" s="5">
        <f ca="1">$C$7</f>
        <v>266600699.77013689</v>
      </c>
      <c r="R92" s="5">
        <f ca="1">$C$7</f>
        <v>266600699.77013689</v>
      </c>
      <c r="S92" s="155"/>
      <c r="AD92" s="157"/>
      <c r="AE92" s="155"/>
      <c r="AF92" s="155"/>
      <c r="AG92" s="155"/>
      <c r="AH92" s="155"/>
    </row>
    <row r="93" spans="3:34">
      <c r="C93" s="58" t="s">
        <v>13</v>
      </c>
      <c r="D93" s="58" t="s">
        <v>30</v>
      </c>
      <c r="E93" s="148" t="s">
        <v>31</v>
      </c>
      <c r="F93" s="148" t="s">
        <v>50</v>
      </c>
      <c r="G93" s="12">
        <f ca="1">OFFSET(Tariff_SimCalculation!O95,,$C$4-rpm_start_year)</f>
        <v>1952542.9999999979</v>
      </c>
      <c r="H93" s="12">
        <f ca="1">OFFSET(Tariff_SimCalculation!R95,,$C$4-rpm_start_year)</f>
        <v>1952542.9999999979</v>
      </c>
      <c r="I93" s="148"/>
      <c r="J93" s="470">
        <f t="shared" ca="1" si="30"/>
        <v>1.26</v>
      </c>
      <c r="K93" s="5"/>
      <c r="L93" s="510"/>
      <c r="M93" s="149"/>
      <c r="N93" t="s">
        <v>343</v>
      </c>
      <c r="P93" s="5">
        <f ca="1">P92-P91</f>
        <v>0</v>
      </c>
      <c r="Q93" s="5">
        <f ca="1">Q92-Q91</f>
        <v>0</v>
      </c>
      <c r="R93" s="5">
        <f ca="1">R92-R91</f>
        <v>0</v>
      </c>
      <c r="S93" s="155"/>
      <c r="U93" s="501"/>
      <c r="V93" s="501"/>
      <c r="AD93" s="157"/>
      <c r="AE93" s="155"/>
      <c r="AF93" s="155"/>
      <c r="AG93" s="155"/>
      <c r="AH93" s="155"/>
    </row>
    <row r="94" spans="3:34">
      <c r="C94" s="58" t="s">
        <v>13</v>
      </c>
      <c r="D94" s="58" t="s">
        <v>30</v>
      </c>
      <c r="E94" s="148" t="s">
        <v>31</v>
      </c>
      <c r="F94" s="148" t="s">
        <v>51</v>
      </c>
      <c r="G94" s="12">
        <f ca="1">OFFSET(Tariff_SimCalculation!O96,,$C$4-rpm_start_year)</f>
        <v>110455.99999999988</v>
      </c>
      <c r="H94" s="12">
        <f ca="1">OFFSET(Tariff_SimCalculation!R96,,$C$4-rpm_start_year)</f>
        <v>110455.99999999988</v>
      </c>
      <c r="I94" s="148"/>
      <c r="J94" s="470">
        <f t="shared" ca="1" si="30"/>
        <v>1.26</v>
      </c>
      <c r="K94" s="5"/>
      <c r="L94" s="510"/>
      <c r="M94" s="149"/>
      <c r="N94" t="s">
        <v>349</v>
      </c>
      <c r="P94" s="9">
        <f ca="1">O84/P91</f>
        <v>0.23351862973742013</v>
      </c>
      <c r="Q94" s="9">
        <f ca="1">P84/Q91</f>
        <v>0.25085771086384911</v>
      </c>
      <c r="R94" s="9">
        <f ca="1">Q84/R91</f>
        <v>0.25085771086384906</v>
      </c>
      <c r="S94" t="s">
        <v>350</v>
      </c>
      <c r="T94" s="42">
        <f ca="1">SUMPRODUCT(J$53:J$80,$G$53:$G$80*("Entry"=$D$53:$D$80))/SUMPRODUCT(J$53:J$80,$G$53:$G$80)</f>
        <v>0.25085771086384911</v>
      </c>
      <c r="U94" s="155"/>
      <c r="V94" s="155"/>
      <c r="AD94" s="157"/>
      <c r="AE94" s="155"/>
      <c r="AF94" s="155"/>
      <c r="AG94" s="155"/>
      <c r="AH94" s="155"/>
    </row>
    <row r="95" spans="3:34">
      <c r="C95" s="58" t="s">
        <v>13</v>
      </c>
      <c r="D95" s="58" t="s">
        <v>30</v>
      </c>
      <c r="E95" s="148" t="s">
        <v>31</v>
      </c>
      <c r="F95" s="148" t="s">
        <v>52</v>
      </c>
      <c r="G95" s="12">
        <f ca="1">OFFSET(Tariff_SimCalculation!O97,,$C$4-rpm_start_year)</f>
        <v>55222.999999999942</v>
      </c>
      <c r="H95" s="12">
        <f ca="1">OFFSET(Tariff_SimCalculation!R97,,$C$4-rpm_start_year)</f>
        <v>55222.999999999942</v>
      </c>
      <c r="I95" s="148"/>
      <c r="J95" s="470">
        <f ca="1">$J$79</f>
        <v>4.626999160188296</v>
      </c>
      <c r="K95" s="5"/>
      <c r="M95" s="149"/>
      <c r="R95" s="157"/>
      <c r="S95" s="155"/>
      <c r="T95" s="155"/>
      <c r="U95" s="155"/>
      <c r="V95" s="155"/>
      <c r="AD95" s="157"/>
      <c r="AE95" s="155"/>
      <c r="AF95" s="155"/>
      <c r="AG95" s="155"/>
      <c r="AH95" s="155"/>
    </row>
    <row r="96" spans="3:34">
      <c r="C96" s="58" t="s">
        <v>13</v>
      </c>
      <c r="D96" s="58" t="s">
        <v>30</v>
      </c>
      <c r="E96" s="148" t="s">
        <v>31</v>
      </c>
      <c r="F96" s="148" t="s">
        <v>53</v>
      </c>
      <c r="G96" s="12">
        <f ca="1">OFFSET(Tariff_SimCalculation!O98,,$C$4-rpm_start_year)</f>
        <v>22021.999999999978</v>
      </c>
      <c r="H96" s="12">
        <f ca="1">OFFSET(Tariff_SimCalculation!R98,,$C$4-rpm_start_year)</f>
        <v>22021.999999999978</v>
      </c>
      <c r="I96" s="148"/>
      <c r="J96" s="470">
        <f ca="1">$J$79</f>
        <v>4.626999160188296</v>
      </c>
      <c r="K96" s="5"/>
      <c r="M96" s="149"/>
      <c r="O96" s="5"/>
      <c r="R96" s="157"/>
      <c r="S96" s="155"/>
      <c r="T96" s="155"/>
      <c r="U96" s="155"/>
      <c r="V96" s="155"/>
      <c r="AD96" s="157"/>
      <c r="AE96" s="155"/>
      <c r="AF96" s="155"/>
      <c r="AG96" s="155"/>
      <c r="AH96" s="155"/>
    </row>
    <row r="97" spans="1:76">
      <c r="C97" s="58" t="s">
        <v>13</v>
      </c>
      <c r="D97" s="58" t="s">
        <v>30</v>
      </c>
      <c r="E97" s="148" t="s">
        <v>31</v>
      </c>
      <c r="F97" s="148" t="s">
        <v>54</v>
      </c>
      <c r="G97" s="12">
        <f ca="1">OFFSET(Tariff_SimCalculation!O99,,$C$4-rpm_start_year)</f>
        <v>110086.9999999999</v>
      </c>
      <c r="H97" s="12">
        <f ca="1">OFFSET(Tariff_SimCalculation!R99,,$C$4-rpm_start_year)</f>
        <v>110086.9999999999</v>
      </c>
      <c r="I97" s="148"/>
      <c r="J97" s="470">
        <f ca="1">$J$79</f>
        <v>4.626999160188296</v>
      </c>
      <c r="K97" s="5"/>
      <c r="M97" s="149"/>
      <c r="R97" s="157"/>
      <c r="S97" s="155"/>
      <c r="T97" s="155"/>
      <c r="U97" s="155"/>
      <c r="V97" s="155"/>
      <c r="AD97" s="157"/>
      <c r="AE97" s="155"/>
      <c r="AF97" s="155"/>
      <c r="AG97" s="155"/>
      <c r="AH97" s="155"/>
    </row>
    <row r="98" spans="1:76">
      <c r="C98" s="58" t="s">
        <v>13</v>
      </c>
      <c r="D98" s="58" t="s">
        <v>30</v>
      </c>
      <c r="E98" s="148" t="s">
        <v>31</v>
      </c>
      <c r="F98" s="148" t="s">
        <v>55</v>
      </c>
      <c r="G98" s="12">
        <f ca="1">OFFSET(Tariff_SimCalculation!O100,,$C$4-rpm_start_year)</f>
        <v>284538.99999999971</v>
      </c>
      <c r="H98" s="12">
        <f ca="1">OFFSET(Tariff_SimCalculation!R100,,$C$4-rpm_start_year)</f>
        <v>284538.99999999971</v>
      </c>
      <c r="I98" s="148"/>
      <c r="J98" s="470">
        <f ca="1">$J$79</f>
        <v>4.626999160188296</v>
      </c>
      <c r="K98" s="5"/>
      <c r="M98" s="149"/>
      <c r="R98" s="157"/>
      <c r="S98" s="155"/>
      <c r="T98" s="155"/>
      <c r="U98" s="155"/>
      <c r="V98" s="155"/>
      <c r="AD98" s="157"/>
      <c r="AE98" s="155"/>
      <c r="AF98" s="155"/>
      <c r="AG98" s="155"/>
      <c r="AH98" s="155"/>
    </row>
    <row r="99" spans="1:76">
      <c r="N99" s="270"/>
    </row>
    <row r="100" spans="1:76" ht="18.75">
      <c r="A100" s="60" t="s">
        <v>16</v>
      </c>
      <c r="B100" s="60"/>
      <c r="C100" s="60"/>
      <c r="D100" s="60"/>
      <c r="E100" s="60"/>
      <c r="F100" s="60"/>
      <c r="G100" s="60"/>
      <c r="H100" s="61"/>
      <c r="I100" s="61"/>
      <c r="J100" s="60"/>
      <c r="K100" s="60"/>
      <c r="L100" s="60"/>
      <c r="M100" s="60"/>
      <c r="N100" s="60"/>
      <c r="O100" s="60"/>
      <c r="P100" s="60"/>
      <c r="Q100" s="60"/>
      <c r="R100" s="60"/>
      <c r="S100" s="60"/>
      <c r="T100" s="60"/>
      <c r="U100" s="60"/>
      <c r="V100" s="60"/>
      <c r="W100" s="60"/>
      <c r="X100" s="60"/>
      <c r="Y100" s="60"/>
      <c r="Z100" s="60"/>
      <c r="AA100" s="60"/>
      <c r="AB100" s="60"/>
      <c r="AC100" s="60"/>
      <c r="AD100" s="60"/>
      <c r="AE100" s="60"/>
      <c r="AF100" s="60"/>
      <c r="AG100" s="60"/>
      <c r="AH100" s="60"/>
      <c r="AI100" s="60"/>
      <c r="AJ100" s="60"/>
      <c r="AK100" s="60"/>
      <c r="AL100" s="60"/>
      <c r="AM100" s="60"/>
      <c r="AN100" s="60"/>
      <c r="AO100" s="60"/>
      <c r="AP100" s="60"/>
      <c r="AQ100" s="60"/>
      <c r="AR100" s="60"/>
      <c r="AS100" s="60"/>
      <c r="AT100" s="60"/>
      <c r="AU100" s="60"/>
    </row>
    <row r="101" spans="1:76" s="17" customFormat="1" outlineLevel="1">
      <c r="A101"/>
      <c r="B101" s="1"/>
      <c r="C101" s="170"/>
      <c r="D101"/>
      <c r="E101"/>
      <c r="F101" s="5"/>
      <c r="G101"/>
      <c r="H101" s="5"/>
      <c r="I101" s="5"/>
      <c r="J101"/>
      <c r="K101"/>
      <c r="L101"/>
      <c r="M101"/>
      <c r="N101"/>
      <c r="O101"/>
      <c r="P101"/>
      <c r="Q101"/>
      <c r="R101"/>
      <c r="S101"/>
      <c r="T101"/>
      <c r="U101"/>
      <c r="V101"/>
      <c r="W101"/>
      <c r="X101"/>
      <c r="Y101"/>
      <c r="Z101"/>
      <c r="AA101"/>
      <c r="AB101"/>
      <c r="AC101"/>
      <c r="AD101"/>
      <c r="AE101"/>
      <c r="AF101"/>
      <c r="AG101"/>
      <c r="AH101"/>
      <c r="AI101"/>
      <c r="AJ101"/>
      <c r="AK101"/>
      <c r="AL101"/>
      <c r="AM101"/>
      <c r="AN101"/>
      <c r="AO101"/>
      <c r="AP101"/>
      <c r="AQ101"/>
    </row>
    <row r="102" spans="1:76" s="17" customFormat="1" outlineLevel="1">
      <c r="A102"/>
      <c r="B102" s="1" t="s">
        <v>18</v>
      </c>
      <c r="C102" s="170">
        <f ca="1">costs_GCA_capa+costs_TAG_capa</f>
        <v>266600699.77013689</v>
      </c>
      <c r="D102" s="147" t="s">
        <v>19</v>
      </c>
      <c r="E102"/>
      <c r="F102" s="5"/>
      <c r="G102"/>
      <c r="H102" s="5"/>
      <c r="I102" s="12"/>
      <c r="J102"/>
      <c r="K102"/>
      <c r="L102"/>
      <c r="M102" s="1"/>
      <c r="N102" s="169"/>
      <c r="O102"/>
      <c r="P102"/>
      <c r="Q102"/>
      <c r="R102"/>
      <c r="S102"/>
      <c r="T102"/>
      <c r="U102"/>
      <c r="V102"/>
      <c r="W102"/>
      <c r="X102"/>
      <c r="Y102"/>
      <c r="Z102"/>
      <c r="AA102"/>
      <c r="AB102"/>
      <c r="AC102"/>
      <c r="AD102" s="8"/>
      <c r="AE102"/>
      <c r="AF102"/>
      <c r="AG102"/>
      <c r="AH102"/>
      <c r="AI102"/>
      <c r="AJ102"/>
      <c r="AK102"/>
      <c r="AL102"/>
      <c r="AM102"/>
      <c r="AN102"/>
      <c r="AO102"/>
      <c r="AP102"/>
      <c r="AQ102"/>
    </row>
    <row r="103" spans="1:76" s="17" customFormat="1" ht="15.75" outlineLevel="1" thickBot="1">
      <c r="A103"/>
      <c r="B103" s="171" t="s">
        <v>133</v>
      </c>
      <c r="C103" s="172">
        <f ca="1">C8</f>
        <v>0.25</v>
      </c>
      <c r="F103" s="12"/>
      <c r="G103"/>
      <c r="H103"/>
      <c r="I103"/>
      <c r="J103"/>
      <c r="K103"/>
      <c r="L103"/>
      <c r="M103"/>
      <c r="N103"/>
      <c r="O103"/>
      <c r="P103"/>
      <c r="Q103"/>
      <c r="R103"/>
      <c r="S103"/>
      <c r="T103"/>
      <c r="U103"/>
      <c r="V103"/>
      <c r="W103"/>
      <c r="X103"/>
      <c r="Y103"/>
      <c r="Z103"/>
      <c r="AA103"/>
      <c r="AB103" s="7"/>
      <c r="AC103"/>
      <c r="AD103"/>
      <c r="AE103"/>
      <c r="AF103"/>
      <c r="AG103"/>
      <c r="AH103"/>
      <c r="AI103"/>
      <c r="AJ103"/>
      <c r="AK103"/>
      <c r="AL103"/>
      <c r="AM103"/>
      <c r="AN103"/>
      <c r="AO103"/>
      <c r="AP103"/>
      <c r="AQ103"/>
    </row>
    <row r="104" spans="1:76" s="17" customFormat="1" outlineLevel="1">
      <c r="A104"/>
      <c r="B104" s="171" t="s">
        <v>134</v>
      </c>
      <c r="C104" s="174">
        <f ca="1">C103*C102</f>
        <v>66650174.942534223</v>
      </c>
      <c r="D104" s="147" t="s">
        <v>19</v>
      </c>
      <c r="E104"/>
      <c r="F104"/>
      <c r="G104" s="186"/>
      <c r="H104" s="186"/>
      <c r="I104" s="186"/>
      <c r="J104" s="186"/>
      <c r="K104" s="186"/>
      <c r="L104" s="186"/>
      <c r="M104" s="186"/>
      <c r="N104" s="186"/>
      <c r="O104" s="186"/>
      <c r="P104" s="186"/>
      <c r="Q104" s="186"/>
      <c r="R104" s="186"/>
      <c r="S104" s="186"/>
      <c r="T104" s="186"/>
      <c r="U104"/>
      <c r="V104"/>
      <c r="W104"/>
      <c r="X104"/>
      <c r="Y104"/>
      <c r="Z104"/>
      <c r="AA104"/>
      <c r="AB104" s="14"/>
      <c r="AC104"/>
      <c r="AD104"/>
      <c r="AE104"/>
      <c r="AF104">
        <v>25785675.652113322</v>
      </c>
      <c r="AG104" s="451">
        <v>22658853.185462326</v>
      </c>
      <c r="AH104">
        <f>AG104/AF104</f>
        <v>0.87873800520737055</v>
      </c>
      <c r="AI104"/>
      <c r="AJ104"/>
      <c r="AK104"/>
      <c r="AL104"/>
      <c r="AM104"/>
      <c r="AN104"/>
      <c r="AO104"/>
      <c r="AP104"/>
      <c r="AQ104"/>
    </row>
    <row r="105" spans="1:76" s="17" customFormat="1" outlineLevel="1">
      <c r="A105"/>
      <c r="B105" s="171" t="s">
        <v>135</v>
      </c>
      <c r="C105" s="174">
        <f ca="1">C102*(1-C103)</f>
        <v>199950524.82760268</v>
      </c>
      <c r="D105" s="147" t="s">
        <v>19</v>
      </c>
      <c r="E105"/>
      <c r="F105"/>
      <c r="G105" s="186"/>
      <c r="H105" s="186"/>
      <c r="I105" s="186"/>
      <c r="J105" s="186"/>
      <c r="K105" s="186"/>
      <c r="L105" s="186"/>
      <c r="M105" s="186"/>
      <c r="N105" s="186"/>
      <c r="O105" s="186"/>
      <c r="P105" s="186"/>
      <c r="Q105" s="186"/>
      <c r="R105" s="186"/>
      <c r="S105" s="186"/>
      <c r="T105" s="186"/>
      <c r="U105"/>
      <c r="V105"/>
      <c r="W105"/>
      <c r="X105"/>
      <c r="Y105"/>
      <c r="Z105"/>
      <c r="AA105"/>
      <c r="AB105" s="14"/>
      <c r="AC105"/>
      <c r="AD105"/>
      <c r="AE105"/>
      <c r="AF105">
        <v>114.86639915761913</v>
      </c>
      <c r="AG105">
        <v>113.21249037514652</v>
      </c>
      <c r="AH105">
        <f>AG105/AF105</f>
        <v>0.98560145704399482</v>
      </c>
      <c r="AI105"/>
      <c r="AJ105"/>
      <c r="AK105"/>
      <c r="AL105"/>
      <c r="AM105"/>
      <c r="AN105"/>
      <c r="AO105"/>
      <c r="AP105"/>
      <c r="AQ105"/>
    </row>
    <row r="106" spans="1:76" s="17" customFormat="1" outlineLevel="1">
      <c r="A106" s="2"/>
      <c r="C106"/>
      <c r="D106"/>
      <c r="F106"/>
      <c r="G106" s="186"/>
      <c r="H106" s="186"/>
      <c r="I106" s="186"/>
      <c r="J106" s="186"/>
      <c r="K106" s="186"/>
      <c r="L106" s="186"/>
      <c r="M106" s="186"/>
      <c r="N106" s="186"/>
      <c r="O106" s="186"/>
      <c r="P106" s="186"/>
      <c r="Q106" s="186"/>
      <c r="R106" s="186"/>
      <c r="S106" s="186"/>
      <c r="T106" s="186"/>
      <c r="U106"/>
      <c r="V106"/>
      <c r="W106"/>
      <c r="X106"/>
      <c r="Y106"/>
      <c r="Z106"/>
      <c r="AA106"/>
      <c r="AB106" s="14"/>
      <c r="AC106"/>
      <c r="AD106" s="229"/>
      <c r="AE106" s="229"/>
      <c r="AF106"/>
      <c r="AG106"/>
      <c r="AH106"/>
      <c r="AI106"/>
      <c r="AJ106"/>
      <c r="AK106"/>
      <c r="AL106"/>
      <c r="AM106"/>
      <c r="AN106"/>
      <c r="AO106"/>
      <c r="AP106"/>
      <c r="AQ106"/>
    </row>
    <row r="107" spans="1:76" s="17" customFormat="1" outlineLevel="1">
      <c r="A107" s="10"/>
      <c r="B107" s="186" t="s">
        <v>141</v>
      </c>
      <c r="C107"/>
      <c r="D107" s="187"/>
      <c r="E107" s="183" t="s">
        <v>30</v>
      </c>
      <c r="F107" s="183" t="s">
        <v>30</v>
      </c>
      <c r="G107" s="183" t="s">
        <v>30</v>
      </c>
      <c r="H107" s="183" t="s">
        <v>30</v>
      </c>
      <c r="I107" s="183" t="s">
        <v>30</v>
      </c>
      <c r="J107" s="183" t="s">
        <v>30</v>
      </c>
      <c r="K107" s="183" t="s">
        <v>30</v>
      </c>
      <c r="L107" s="183" t="s">
        <v>30</v>
      </c>
      <c r="M107" s="183" t="s">
        <v>30</v>
      </c>
      <c r="N107" s="183" t="s">
        <v>30</v>
      </c>
      <c r="O107" s="183" t="s">
        <v>30</v>
      </c>
      <c r="P107" s="183" t="s">
        <v>30</v>
      </c>
      <c r="Q107" s="183" t="s">
        <v>30</v>
      </c>
      <c r="R107" s="183" t="s">
        <v>30</v>
      </c>
      <c r="S107" s="183" t="s">
        <v>30</v>
      </c>
      <c r="T107" s="183" t="s">
        <v>30</v>
      </c>
      <c r="U107" s="183" t="s">
        <v>30</v>
      </c>
      <c r="V107" s="183" t="s">
        <v>30</v>
      </c>
      <c r="W107" s="183" t="s">
        <v>30</v>
      </c>
      <c r="X107" s="183" t="s">
        <v>30</v>
      </c>
      <c r="Y107" s="183" t="s">
        <v>30</v>
      </c>
      <c r="Z107" s="183" t="s">
        <v>30</v>
      </c>
      <c r="AA107" s="183" t="s">
        <v>30</v>
      </c>
      <c r="AB107" s="183" t="s">
        <v>30</v>
      </c>
      <c r="AC107" s="183" t="s">
        <v>30</v>
      </c>
      <c r="AD107" s="229" t="s">
        <v>31</v>
      </c>
      <c r="AE107" s="229" t="s">
        <v>32</v>
      </c>
      <c r="AF107"/>
      <c r="AG107"/>
      <c r="AH107" s="229" t="s">
        <v>31</v>
      </c>
      <c r="AI107" s="229" t="s">
        <v>32</v>
      </c>
      <c r="AJ107"/>
      <c r="AK107"/>
      <c r="AL107"/>
      <c r="AM107"/>
      <c r="AN107"/>
      <c r="AO107"/>
      <c r="AP107"/>
      <c r="AQ107"/>
    </row>
    <row r="108" spans="1:76" s="17" customFormat="1" ht="92.25" outlineLevel="1" thickBot="1">
      <c r="A108"/>
      <c r="C108"/>
      <c r="D108" s="187"/>
      <c r="E108" s="204" t="s">
        <v>22</v>
      </c>
      <c r="F108" s="204" t="s">
        <v>23</v>
      </c>
      <c r="G108" s="204" t="s">
        <v>24</v>
      </c>
      <c r="H108" s="204" t="s">
        <v>39</v>
      </c>
      <c r="I108" s="204" t="s">
        <v>34</v>
      </c>
      <c r="J108" s="204" t="s">
        <v>33</v>
      </c>
      <c r="K108" s="204" t="s">
        <v>20</v>
      </c>
      <c r="L108" s="204" t="s">
        <v>56</v>
      </c>
      <c r="M108" s="204" t="s">
        <v>25</v>
      </c>
      <c r="N108" s="204" t="s">
        <v>40</v>
      </c>
      <c r="O108" s="204" t="s">
        <v>41</v>
      </c>
      <c r="P108" s="204" t="s">
        <v>42</v>
      </c>
      <c r="Q108" s="204" t="s">
        <v>43</v>
      </c>
      <c r="R108" s="204" t="s">
        <v>44</v>
      </c>
      <c r="S108" s="204" t="s">
        <v>45</v>
      </c>
      <c r="T108" s="204" t="s">
        <v>46</v>
      </c>
      <c r="U108" s="204" t="s">
        <v>47</v>
      </c>
      <c r="V108" s="204" t="s">
        <v>48</v>
      </c>
      <c r="W108" s="204" t="s">
        <v>49</v>
      </c>
      <c r="X108" s="204" t="s">
        <v>50</v>
      </c>
      <c r="Y108" s="204" t="s">
        <v>51</v>
      </c>
      <c r="Z108" s="204" t="s">
        <v>52</v>
      </c>
      <c r="AA108" s="204" t="s">
        <v>53</v>
      </c>
      <c r="AB108" s="204" t="s">
        <v>54</v>
      </c>
      <c r="AC108" s="204" t="s">
        <v>55</v>
      </c>
      <c r="AD108" s="185" t="s">
        <v>170</v>
      </c>
      <c r="AE108" s="185" t="s">
        <v>170</v>
      </c>
      <c r="AF108" s="229" t="s">
        <v>319</v>
      </c>
      <c r="AG108" s="229" t="s">
        <v>137</v>
      </c>
      <c r="AH108" s="237" t="s">
        <v>139</v>
      </c>
      <c r="AI108" s="10" t="s">
        <v>140</v>
      </c>
      <c r="AJ108"/>
      <c r="AK108" s="229" t="s">
        <v>201</v>
      </c>
      <c r="AL108" s="229" t="s">
        <v>202</v>
      </c>
      <c r="AM108" s="229" t="s">
        <v>154</v>
      </c>
      <c r="AO108" s="247" t="s">
        <v>150</v>
      </c>
      <c r="AP108" s="247" t="s">
        <v>151</v>
      </c>
      <c r="AQ108" s="248"/>
      <c r="AR108" s="229" t="s">
        <v>157</v>
      </c>
      <c r="AS108" s="247" t="s">
        <v>171</v>
      </c>
      <c r="AT108" s="247" t="s">
        <v>172</v>
      </c>
      <c r="AY108" s="181" t="s">
        <v>136</v>
      </c>
      <c r="AZ108" s="182" t="s">
        <v>22</v>
      </c>
      <c r="BA108" s="182" t="s">
        <v>23</v>
      </c>
      <c r="BB108" s="182" t="s">
        <v>24</v>
      </c>
      <c r="BC108" s="182" t="s">
        <v>39</v>
      </c>
      <c r="BD108" s="182" t="s">
        <v>34</v>
      </c>
      <c r="BE108" s="182" t="s">
        <v>33</v>
      </c>
      <c r="BF108" s="182" t="s">
        <v>20</v>
      </c>
      <c r="BG108" s="182" t="s">
        <v>56</v>
      </c>
      <c r="BH108" s="182" t="s">
        <v>25</v>
      </c>
      <c r="BI108" s="182" t="s">
        <v>40</v>
      </c>
      <c r="BJ108" s="182" t="s">
        <v>41</v>
      </c>
      <c r="BK108" s="182" t="s">
        <v>42</v>
      </c>
      <c r="BL108" s="182" t="s">
        <v>43</v>
      </c>
      <c r="BM108" s="182" t="s">
        <v>44</v>
      </c>
      <c r="BN108" s="182" t="s">
        <v>45</v>
      </c>
      <c r="BO108" s="182" t="s">
        <v>46</v>
      </c>
      <c r="BP108" s="182" t="s">
        <v>47</v>
      </c>
      <c r="BQ108" s="182" t="s">
        <v>48</v>
      </c>
      <c r="BR108" s="182" t="s">
        <v>49</v>
      </c>
      <c r="BS108" s="182" t="s">
        <v>50</v>
      </c>
      <c r="BT108" s="182" t="s">
        <v>51</v>
      </c>
      <c r="BU108" s="182" t="s">
        <v>52</v>
      </c>
      <c r="BV108" s="182" t="s">
        <v>53</v>
      </c>
      <c r="BW108" s="182" t="s">
        <v>54</v>
      </c>
      <c r="BX108" s="182" t="s">
        <v>55</v>
      </c>
    </row>
    <row r="109" spans="1:76" s="17" customFormat="1" outlineLevel="1">
      <c r="A109"/>
      <c r="B109" s="1" t="s">
        <v>21</v>
      </c>
      <c r="C109"/>
      <c r="D109" s="188" t="s">
        <v>22</v>
      </c>
      <c r="E109" s="190">
        <v>0</v>
      </c>
      <c r="F109" s="191">
        <v>245</v>
      </c>
      <c r="G109" s="191">
        <v>340</v>
      </c>
      <c r="H109" s="191">
        <v>49</v>
      </c>
      <c r="I109" s="191">
        <v>39</v>
      </c>
      <c r="J109" s="191">
        <v>241</v>
      </c>
      <c r="K109" s="191">
        <v>384.59447</v>
      </c>
      <c r="L109" s="191">
        <v>337</v>
      </c>
      <c r="M109" s="191">
        <v>5</v>
      </c>
      <c r="N109" s="191">
        <v>27</v>
      </c>
      <c r="O109" s="191">
        <v>81</v>
      </c>
      <c r="P109" s="191">
        <v>136</v>
      </c>
      <c r="Q109" s="191">
        <v>188</v>
      </c>
      <c r="R109" s="191">
        <v>205</v>
      </c>
      <c r="S109" s="191">
        <v>225</v>
      </c>
      <c r="T109" s="191">
        <v>3.05</v>
      </c>
      <c r="U109" s="191">
        <v>74.84778</v>
      </c>
      <c r="V109" s="191">
        <v>140.48994999999999</v>
      </c>
      <c r="W109" s="191">
        <v>183.23273</v>
      </c>
      <c r="X109" s="191">
        <v>213.69001</v>
      </c>
      <c r="Y109" s="191">
        <v>234.34958</v>
      </c>
      <c r="Z109" s="191">
        <v>271.73602</v>
      </c>
      <c r="AA109" s="191">
        <v>303.39652000000001</v>
      </c>
      <c r="AB109" s="191">
        <v>323.51218999999998</v>
      </c>
      <c r="AC109" s="192">
        <v>364.42469</v>
      </c>
      <c r="AD109" s="451">
        <f ca="1">SUMIFS($G$53:$G$98,$F$53:$F$98,$D109,$D$53:$D$98,$B109,$E$53:$E$98,AD$107)</f>
        <v>24670481.391985364</v>
      </c>
      <c r="AE109" s="272">
        <f>SUMIFS($G$53:$G$98,$F$53:$F$98,$D109,$D$53:$D$98,$B109,$E$53:$E$98,AE$107)</f>
        <v>0</v>
      </c>
      <c r="AF109" s="180" cm="1">
        <f t="array" aca="1" ref="AF109" ca="1">(SUMPRODUCT(E109:AC109,$E$119:$AC$119)+SUMPRODUCT(E109:AC109,$E$120:$AC$120,AZ109:BX109))/(SUMPRODUCT($E$119:$AC$119*(E109:AC109&lt;&gt;0))+SUMPRODUCT($E$120:$AC$120*AZ109:BX109*(E109:AC109&lt;&gt;0)))</f>
        <v>115.80575192789931</v>
      </c>
      <c r="AG109" s="228">
        <f ca="1">AF109*(AD109+AE109)/(SUMPRODUCT($AF$109:$AF$118,$AD$109:$AD$118)+SUMPRODUCT($AF$109:$AF$118,$AE$109:$AE$118))</f>
        <v>0.22064169134664055</v>
      </c>
      <c r="AH109" s="236">
        <f t="shared" ref="AH109:AH118" ca="1" si="31">IFERROR(AG109*$C$104/(AD109+AE109*(1-discount_DZK)),0)</f>
        <v>0.59608919235145819</v>
      </c>
      <c r="AI109" s="235">
        <v>0</v>
      </c>
      <c r="AJ109" s="231">
        <f ca="1">AD109*AH109+AE109*AI109</f>
        <v>14705807.327870233</v>
      </c>
      <c r="AK109" s="244">
        <f ca="1">IF(Tariff_SimCalculation!X8,SUMIFS($AJ$109:$AJ$115,Tariff_SimCalculation!$X$8:$X$14,1)/(SUMIFS($AD$109:$AD$115,Tariff_SimCalculation!$X$8:$X$14,1)+SUMIFS($AE$109:$AE$115,Tariff_SimCalculation!$X$8:$X$14,1)*(1-discount_DZK)),"")</f>
        <v>1.2073671671710937</v>
      </c>
      <c r="AL109" s="235"/>
      <c r="AM109"/>
      <c r="AO109" s="235">
        <f ca="1">IF(AK109&lt;&gt;"",AK109,AH109)</f>
        <v>1.2073671671710937</v>
      </c>
      <c r="AP109" s="235">
        <f t="shared" ref="AP109:AP118" si="32">IF($AE109&gt;0,(1-discount_DZK)*AO109,0)</f>
        <v>0</v>
      </c>
      <c r="AQ109"/>
      <c r="AR109" s="3">
        <v>1</v>
      </c>
      <c r="AS109" s="468">
        <f t="shared" ref="AS109:AT118" ca="1" si="33">IF($AR109=1,$AK$136,1)*AO109</f>
        <v>1.2777252245189243</v>
      </c>
      <c r="AT109" s="235">
        <f t="shared" ca="1" si="33"/>
        <v>0</v>
      </c>
      <c r="AY109" s="177" t="s">
        <v>22</v>
      </c>
      <c r="AZ109" s="207"/>
      <c r="BA109" s="208"/>
      <c r="BB109" s="208"/>
      <c r="BC109" s="208"/>
      <c r="BD109" s="208"/>
      <c r="BE109" s="208"/>
      <c r="BF109" s="208"/>
      <c r="BG109" s="208"/>
      <c r="BH109" s="209"/>
      <c r="BI109" s="210">
        <v>1</v>
      </c>
      <c r="BJ109" s="208"/>
      <c r="BK109" s="208"/>
      <c r="BL109" s="208"/>
      <c r="BM109" s="208"/>
      <c r="BN109" s="208"/>
      <c r="BO109" s="211"/>
      <c r="BP109" s="207"/>
      <c r="BQ109" s="208"/>
      <c r="BR109" s="208"/>
      <c r="BS109" s="208"/>
      <c r="BT109" s="208"/>
      <c r="BU109" s="208"/>
      <c r="BV109" s="208"/>
      <c r="BW109" s="208"/>
      <c r="BX109" s="209"/>
    </row>
    <row r="110" spans="1:76" s="17" customFormat="1" outlineLevel="1">
      <c r="A110"/>
      <c r="B110" s="1" t="s">
        <v>21</v>
      </c>
      <c r="C110"/>
      <c r="D110" s="188" t="s">
        <v>23</v>
      </c>
      <c r="E110" s="193">
        <v>245</v>
      </c>
      <c r="F110" s="189">
        <v>0</v>
      </c>
      <c r="G110" s="189">
        <v>95</v>
      </c>
      <c r="H110" s="189">
        <v>288</v>
      </c>
      <c r="I110" s="189">
        <v>278</v>
      </c>
      <c r="J110" s="189">
        <v>480</v>
      </c>
      <c r="K110" s="189">
        <v>623.59447</v>
      </c>
      <c r="L110" s="189">
        <v>92</v>
      </c>
      <c r="M110" s="189">
        <v>244</v>
      </c>
      <c r="N110" s="189">
        <v>218</v>
      </c>
      <c r="O110" s="189">
        <v>164</v>
      </c>
      <c r="P110" s="189">
        <v>109</v>
      </c>
      <c r="Q110" s="189">
        <v>57</v>
      </c>
      <c r="R110" s="189">
        <v>40</v>
      </c>
      <c r="S110" s="189">
        <v>20</v>
      </c>
      <c r="T110" s="189">
        <v>241.95</v>
      </c>
      <c r="U110" s="189">
        <v>313.84778</v>
      </c>
      <c r="V110" s="189">
        <v>379.48995000000002</v>
      </c>
      <c r="W110" s="189">
        <v>422.23273</v>
      </c>
      <c r="X110" s="189">
        <v>452.69001000000003</v>
      </c>
      <c r="Y110" s="189">
        <v>473.34958</v>
      </c>
      <c r="Z110" s="189">
        <v>510.73602</v>
      </c>
      <c r="AA110" s="189">
        <v>542.39652000000001</v>
      </c>
      <c r="AB110" s="189">
        <v>562.51218999999992</v>
      </c>
      <c r="AC110" s="194">
        <v>603.42469000000006</v>
      </c>
      <c r="AD110" s="452">
        <f t="shared" ref="AD110:AE118" ca="1" si="34">SUMIFS($G$53:$G$98,$F$53:$F$98,$D110,$D$53:$D$98,$B110,$E$53:$E$98,AD$107)</f>
        <v>9945576.720543379</v>
      </c>
      <c r="AE110" s="273">
        <f t="shared" si="34"/>
        <v>0</v>
      </c>
      <c r="AF110" s="180" cm="1">
        <f t="array" aca="1" ref="AF110" ca="1">(SUMPRODUCT(E110:AC110,$E$119:$AC$119)+SUMPRODUCT(E110:AC110,$E$120:$AC$120,AZ110:BX110))/(SUMPRODUCT($E$119:$AC$119*(E110:AC110&lt;&gt;0))+SUMPRODUCT($E$120:$AC$120*AZ110:BX110*(E110:AC110&lt;&gt;0)))</f>
        <v>279.96645651426536</v>
      </c>
      <c r="AG110" s="228">
        <f ca="1">AF110*(AD110+AE110)/(SUMPRODUCT($AF$109:$AF$118,$AD$109:$AD$118)+SUMPRODUCT($AF$109:$AF$118,$AE$109:$AE$118))</f>
        <v>0.21503828894277965</v>
      </c>
      <c r="AH110" s="236">
        <f ca="1">IFERROR(AG110*$C$104/(AD110+AE110*(1-discount_DZK)),0)</f>
        <v>1.4410767701157945</v>
      </c>
      <c r="AI110" s="235">
        <v>0</v>
      </c>
      <c r="AJ110" s="231">
        <f ca="1">AD110*AH110+AE110*AI110</f>
        <v>14332339.577379487</v>
      </c>
      <c r="AK110" s="244">
        <f ca="1">IF(Tariff_SimCalculation!X9,SUMIFS($AJ$109:$AJ$115,Tariff_SimCalculation!$X$8:$X$14,1)/(SUMIFS($AD$109:$AD$115,Tariff_SimCalculation!$X$8:$X$14,1)+SUMIFS($AE$109:$AE$115,Tariff_SimCalculation!$X$8:$X$14,1)*(1-discount_DZK)),"")</f>
        <v>1.2073671671710937</v>
      </c>
      <c r="AL110" s="235"/>
      <c r="AM110"/>
      <c r="AO110" s="235">
        <f t="shared" ref="AO110:AO115" ca="1" si="35">IF(AK110&lt;&gt;"",AK110,AH110)</f>
        <v>1.2073671671710937</v>
      </c>
      <c r="AP110" s="235">
        <f t="shared" si="32"/>
        <v>0</v>
      </c>
      <c r="AQ110"/>
      <c r="AR110" s="3">
        <v>1</v>
      </c>
      <c r="AS110" s="468">
        <f t="shared" ca="1" si="33"/>
        <v>1.2777252245189243</v>
      </c>
      <c r="AT110" s="235">
        <f t="shared" ca="1" si="33"/>
        <v>0</v>
      </c>
      <c r="AY110" s="178" t="s">
        <v>23</v>
      </c>
      <c r="AZ110" s="212"/>
      <c r="BA110" s="213"/>
      <c r="BB110" s="213">
        <v>1</v>
      </c>
      <c r="BC110" s="213"/>
      <c r="BD110" s="213"/>
      <c r="BE110" s="213"/>
      <c r="BF110" s="213"/>
      <c r="BG110" s="213"/>
      <c r="BH110" s="214"/>
      <c r="BI110" s="215"/>
      <c r="BJ110" s="213"/>
      <c r="BK110" s="213"/>
      <c r="BL110" s="213"/>
      <c r="BM110" s="213">
        <v>1</v>
      </c>
      <c r="BN110" s="213"/>
      <c r="BO110" s="216"/>
      <c r="BP110" s="212"/>
      <c r="BQ110" s="213"/>
      <c r="BR110" s="213"/>
      <c r="BS110" s="213"/>
      <c r="BT110" s="213"/>
      <c r="BU110" s="213"/>
      <c r="BV110" s="213"/>
      <c r="BW110" s="213"/>
      <c r="BX110" s="214"/>
    </row>
    <row r="111" spans="1:76" s="17" customFormat="1" outlineLevel="1">
      <c r="A111"/>
      <c r="B111" s="1" t="s">
        <v>21</v>
      </c>
      <c r="C111"/>
      <c r="D111" s="188" t="s">
        <v>24</v>
      </c>
      <c r="E111" s="193">
        <v>340</v>
      </c>
      <c r="F111" s="189">
        <v>95</v>
      </c>
      <c r="G111" s="189">
        <v>0</v>
      </c>
      <c r="H111" s="189">
        <v>383</v>
      </c>
      <c r="I111" s="189">
        <v>373</v>
      </c>
      <c r="J111" s="189">
        <v>575</v>
      </c>
      <c r="K111" s="189">
        <v>718.59447</v>
      </c>
      <c r="L111" s="189">
        <v>3</v>
      </c>
      <c r="M111" s="189">
        <v>339</v>
      </c>
      <c r="N111" s="189">
        <v>313</v>
      </c>
      <c r="O111" s="189">
        <v>259</v>
      </c>
      <c r="P111" s="189">
        <v>204</v>
      </c>
      <c r="Q111" s="189">
        <v>152</v>
      </c>
      <c r="R111" s="189">
        <v>135</v>
      </c>
      <c r="S111" s="189">
        <v>115</v>
      </c>
      <c r="T111" s="189">
        <v>336.95</v>
      </c>
      <c r="U111" s="189">
        <v>408.84778</v>
      </c>
      <c r="V111" s="189">
        <v>474.48995000000002</v>
      </c>
      <c r="W111" s="189">
        <v>517.23272999999995</v>
      </c>
      <c r="X111" s="189">
        <v>547.69001000000003</v>
      </c>
      <c r="Y111" s="189">
        <v>568.34958000000006</v>
      </c>
      <c r="Z111" s="189">
        <v>605.73602000000005</v>
      </c>
      <c r="AA111" s="189">
        <v>637.39652000000001</v>
      </c>
      <c r="AB111" s="189">
        <v>657.51218999999992</v>
      </c>
      <c r="AC111" s="194">
        <v>698.42469000000006</v>
      </c>
      <c r="AD111" s="452">
        <f t="shared" ca="1" si="34"/>
        <v>1871337.7898630137</v>
      </c>
      <c r="AE111" s="273">
        <f t="shared" ca="1" si="34"/>
        <v>3357000</v>
      </c>
      <c r="AF111" s="180" cm="1">
        <f t="array" aca="1" ref="AF111" ca="1">(SUMPRODUCT(E111:AC111,$E$119:$AC$119)+SUMPRODUCT(E111:AC111,$E$120:$AC$120,AZ111:BX111))/(SUMPRODUCT($E$119:$AC$119*(E111:AC111&lt;&gt;0))+SUMPRODUCT($E$120:$AC$120*AZ111:BX111*(E111:AC111&lt;&gt;0)))</f>
        <v>343.14981701450279</v>
      </c>
      <c r="AG111" s="228">
        <f t="shared" ref="AG111:AG118" ca="1" si="36">AF111*(AD111+AE111)/(SUMPRODUCT($AF$109:$AF$118,$AD$109:$AD$118)+SUMPRODUCT($AF$109:$AF$118,$AE$109:$AE$118))</f>
        <v>0.13855660498375258</v>
      </c>
      <c r="AH111" s="236">
        <f t="shared" ca="1" si="31"/>
        <v>1.8874934867944269</v>
      </c>
      <c r="AI111" s="235">
        <f ca="1">(1-discount_DZK)*AH111</f>
        <v>1.6987441381149841</v>
      </c>
      <c r="AJ111" s="231">
        <f ca="1">AD111*AH111+AE111*AI111</f>
        <v>9234821.9616107177</v>
      </c>
      <c r="AK111" s="244">
        <f ca="1">IF(Tariff_SimCalculation!X10,SUMIFS($AJ$109:$AJ$115,Tariff_SimCalculation!$X$8:$X$14,1)/(SUMIFS($AD$109:$AD$115,Tariff_SimCalculation!$X$8:$X$14,1)+SUMIFS($AE$109:$AE$115,Tariff_SimCalculation!$X$8:$X$14,1)*(1-discount_DZK)),"")</f>
        <v>1.2073671671710937</v>
      </c>
      <c r="AL111" s="235">
        <f ca="1">(1-discount_DZK)*AK111</f>
        <v>1.0866304504539843</v>
      </c>
      <c r="AM111"/>
      <c r="AO111" s="235">
        <f t="shared" ca="1" si="35"/>
        <v>1.2073671671710937</v>
      </c>
      <c r="AP111" s="235">
        <f ca="1">(1-discount_DZK)*AO111</f>
        <v>1.0866304504539843</v>
      </c>
      <c r="AQ111"/>
      <c r="AR111" s="3">
        <v>1</v>
      </c>
      <c r="AS111" s="468">
        <f t="shared" ca="1" si="33"/>
        <v>1.2777252245189243</v>
      </c>
      <c r="AT111" s="468">
        <f ca="1">IF($AR111=1,$AK$136,1)*AP111</f>
        <v>1.1499527020670319</v>
      </c>
      <c r="AY111" s="178" t="s">
        <v>24</v>
      </c>
      <c r="AZ111" s="212"/>
      <c r="BA111" s="213">
        <v>1</v>
      </c>
      <c r="BB111" s="213"/>
      <c r="BC111" s="213"/>
      <c r="BD111" s="213"/>
      <c r="BE111" s="213"/>
      <c r="BF111" s="213"/>
      <c r="BG111" s="213"/>
      <c r="BH111" s="214"/>
      <c r="BI111" s="215"/>
      <c r="BJ111" s="213"/>
      <c r="BK111" s="213"/>
      <c r="BL111" s="213"/>
      <c r="BM111" s="213"/>
      <c r="BN111" s="213"/>
      <c r="BO111" s="216"/>
      <c r="BP111" s="212"/>
      <c r="BQ111" s="213"/>
      <c r="BR111" s="213"/>
      <c r="BS111" s="213"/>
      <c r="BT111" s="213"/>
      <c r="BU111" s="213"/>
      <c r="BV111" s="213"/>
      <c r="BW111" s="213"/>
      <c r="BX111" s="214"/>
    </row>
    <row r="112" spans="1:76" s="17" customFormat="1" outlineLevel="1">
      <c r="A112"/>
      <c r="B112" s="1" t="s">
        <v>21</v>
      </c>
      <c r="C112"/>
      <c r="D112" s="188" t="s">
        <v>39</v>
      </c>
      <c r="E112" s="193">
        <v>49</v>
      </c>
      <c r="F112" s="189">
        <v>288</v>
      </c>
      <c r="G112" s="189">
        <v>383</v>
      </c>
      <c r="H112" s="189">
        <v>0</v>
      </c>
      <c r="I112" s="189">
        <v>10</v>
      </c>
      <c r="J112" s="189">
        <v>284</v>
      </c>
      <c r="K112" s="189">
        <v>427.59447</v>
      </c>
      <c r="L112" s="189">
        <v>380</v>
      </c>
      <c r="M112" s="189">
        <v>48</v>
      </c>
      <c r="N112" s="189">
        <v>70</v>
      </c>
      <c r="O112" s="189">
        <v>124</v>
      </c>
      <c r="P112" s="189">
        <v>179</v>
      </c>
      <c r="Q112" s="189">
        <v>231</v>
      </c>
      <c r="R112" s="189">
        <v>248</v>
      </c>
      <c r="S112" s="189">
        <v>268</v>
      </c>
      <c r="T112" s="189">
        <v>46.05</v>
      </c>
      <c r="U112" s="189">
        <v>117.84778</v>
      </c>
      <c r="V112" s="189">
        <v>183.48994999999999</v>
      </c>
      <c r="W112" s="189">
        <v>226.23273</v>
      </c>
      <c r="X112" s="189">
        <v>256.69001000000003</v>
      </c>
      <c r="Y112" s="189">
        <v>277.34958</v>
      </c>
      <c r="Z112" s="189">
        <v>314.73602</v>
      </c>
      <c r="AA112" s="189">
        <v>346.39652000000001</v>
      </c>
      <c r="AB112" s="189">
        <v>366.51218999999998</v>
      </c>
      <c r="AC112" s="194">
        <v>407.42469</v>
      </c>
      <c r="AD112" s="452">
        <f t="shared" ca="1" si="34"/>
        <v>0</v>
      </c>
      <c r="AE112" s="273">
        <f t="shared" si="34"/>
        <v>0</v>
      </c>
      <c r="AF112" s="180" cm="1">
        <f t="array" aca="1" ref="AF112" ca="1">(SUMPRODUCT(E112:AC112,$E$119:$AC$119)+SUMPRODUCT(E112:AC112,$E$120:$AC$120,AZ112:BX112))/(SUMPRODUCT($E$119:$AC$119*(E112:AC112&lt;&gt;0))+SUMPRODUCT($E$120:$AC$120*AZ112:BX112*(E112:AC112&lt;&gt;0)))</f>
        <v>163.75117587385844</v>
      </c>
      <c r="AG112" s="228">
        <f t="shared" ca="1" si="36"/>
        <v>0</v>
      </c>
      <c r="AH112" s="236">
        <f t="shared" ca="1" si="31"/>
        <v>0</v>
      </c>
      <c r="AI112" s="235">
        <v>0</v>
      </c>
      <c r="AJ112" s="231">
        <f t="shared" ref="AJ112:AJ118" ca="1" si="37">AD112*AH112+AE112*AI112</f>
        <v>0</v>
      </c>
      <c r="AK112" s="244">
        <f ca="1">IF(Tariff_SimCalculation!X11,SUMIFS($AJ$109:$AJ$115,Tariff_SimCalculation!$X$8:$X$14,1)/(SUMIFS($AD$109:$AD$115,Tariff_SimCalculation!$X$8:$X$14,1)+SUMIFS($AE$109:$AE$115,Tariff_SimCalculation!$X$8:$X$14,1)*(1-discount_DZK)),"")</f>
        <v>1.2073671671710937</v>
      </c>
      <c r="AL112" s="235"/>
      <c r="AM112"/>
      <c r="AO112" s="235">
        <f t="shared" ca="1" si="35"/>
        <v>1.2073671671710937</v>
      </c>
      <c r="AP112" s="235">
        <f t="shared" si="32"/>
        <v>0</v>
      </c>
      <c r="AQ112"/>
      <c r="AR112" s="3">
        <v>1</v>
      </c>
      <c r="AS112" s="468">
        <f t="shared" ca="1" si="33"/>
        <v>1.2777252245189243</v>
      </c>
      <c r="AT112" s="235">
        <f t="shared" ca="1" si="33"/>
        <v>0</v>
      </c>
      <c r="AY112" s="178" t="s">
        <v>39</v>
      </c>
      <c r="AZ112" s="212"/>
      <c r="BA112" s="213"/>
      <c r="BB112" s="213"/>
      <c r="BC112" s="213"/>
      <c r="BD112" s="213"/>
      <c r="BE112" s="213"/>
      <c r="BF112" s="213"/>
      <c r="BG112" s="213"/>
      <c r="BH112" s="214"/>
      <c r="BI112" s="215"/>
      <c r="BJ112" s="213"/>
      <c r="BK112" s="213"/>
      <c r="BL112" s="213"/>
      <c r="BM112" s="213"/>
      <c r="BN112" s="213"/>
      <c r="BO112" s="216"/>
      <c r="BP112" s="212"/>
      <c r="BQ112" s="213"/>
      <c r="BR112" s="213"/>
      <c r="BS112" s="213"/>
      <c r="BT112" s="213"/>
      <c r="BU112" s="213"/>
      <c r="BV112" s="213"/>
      <c r="BW112" s="213"/>
      <c r="BX112" s="214"/>
    </row>
    <row r="113" spans="1:76" s="17" customFormat="1" outlineLevel="1">
      <c r="A113"/>
      <c r="B113" s="1" t="s">
        <v>21</v>
      </c>
      <c r="C113"/>
      <c r="D113" s="188" t="s">
        <v>34</v>
      </c>
      <c r="E113" s="193">
        <v>39</v>
      </c>
      <c r="F113" s="189">
        <v>278</v>
      </c>
      <c r="G113" s="189">
        <v>373</v>
      </c>
      <c r="H113" s="189">
        <v>10</v>
      </c>
      <c r="I113" s="189">
        <v>0</v>
      </c>
      <c r="J113" s="189">
        <v>274</v>
      </c>
      <c r="K113" s="189">
        <v>417.59447</v>
      </c>
      <c r="L113" s="189">
        <v>370</v>
      </c>
      <c r="M113" s="189">
        <v>38</v>
      </c>
      <c r="N113" s="189">
        <v>60</v>
      </c>
      <c r="O113" s="189">
        <v>114</v>
      </c>
      <c r="P113" s="189">
        <v>169</v>
      </c>
      <c r="Q113" s="189">
        <v>221</v>
      </c>
      <c r="R113" s="189">
        <v>238</v>
      </c>
      <c r="S113" s="189">
        <v>258</v>
      </c>
      <c r="T113" s="189">
        <v>36.049999999999997</v>
      </c>
      <c r="U113" s="189">
        <v>107.84778</v>
      </c>
      <c r="V113" s="189">
        <v>173.48994999999999</v>
      </c>
      <c r="W113" s="189">
        <v>216.23273</v>
      </c>
      <c r="X113" s="189">
        <v>246.69001</v>
      </c>
      <c r="Y113" s="189">
        <v>267.34958</v>
      </c>
      <c r="Z113" s="189">
        <v>304.73602</v>
      </c>
      <c r="AA113" s="189">
        <v>336.39652000000001</v>
      </c>
      <c r="AB113" s="189">
        <v>356.51218999999998</v>
      </c>
      <c r="AC113" s="194">
        <v>397.42469</v>
      </c>
      <c r="AD113" s="452">
        <f t="shared" ca="1" si="34"/>
        <v>0</v>
      </c>
      <c r="AE113" s="273">
        <f t="shared" si="34"/>
        <v>0</v>
      </c>
      <c r="AF113" s="180" cm="1">
        <f t="array" aca="1" ref="AF113" ca="1">(SUMPRODUCT(E113:AC113,$E$119:$AC$119)+SUMPRODUCT(E113:AC113,$E$120:$AC$120,AZ113:BX113))/(SUMPRODUCT($E$119:$AC$119*(E113:AC113&lt;&gt;0))+SUMPRODUCT($E$120:$AC$120*AZ113:BX113*(E113:AC113&lt;&gt;0)))</f>
        <v>140.94297813076173</v>
      </c>
      <c r="AG113" s="228">
        <f t="shared" ca="1" si="36"/>
        <v>0</v>
      </c>
      <c r="AH113" s="236">
        <f t="shared" ca="1" si="31"/>
        <v>0</v>
      </c>
      <c r="AI113" s="235">
        <v>0</v>
      </c>
      <c r="AJ113" s="231">
        <f t="shared" ca="1" si="37"/>
        <v>0</v>
      </c>
      <c r="AK113" s="244">
        <f ca="1">IF(Tariff_SimCalculation!X12,SUMIFS($AJ$109:$AJ$115,Tariff_SimCalculation!$X$8:$X$14,1)/(SUMIFS($AD$109:$AD$115,Tariff_SimCalculation!$X$8:$X$14,1)+SUMIFS($AE$109:$AE$115,Tariff_SimCalculation!$X$8:$X$14,1)*(1-discount_DZK)),"")</f>
        <v>1.2073671671710937</v>
      </c>
      <c r="AL113" s="235"/>
      <c r="AM113"/>
      <c r="AO113" s="235">
        <f t="shared" ca="1" si="35"/>
        <v>1.2073671671710937</v>
      </c>
      <c r="AP113" s="235">
        <f t="shared" si="32"/>
        <v>0</v>
      </c>
      <c r="AQ113"/>
      <c r="AR113" s="3">
        <v>1</v>
      </c>
      <c r="AS113" s="468">
        <f t="shared" ca="1" si="33"/>
        <v>1.2777252245189243</v>
      </c>
      <c r="AT113" s="235">
        <f t="shared" ca="1" si="33"/>
        <v>0</v>
      </c>
      <c r="AY113" s="178" t="s">
        <v>34</v>
      </c>
      <c r="AZ113" s="212"/>
      <c r="BA113" s="213"/>
      <c r="BB113" s="213"/>
      <c r="BC113" s="213"/>
      <c r="BD113" s="213"/>
      <c r="BE113" s="213"/>
      <c r="BF113" s="213"/>
      <c r="BG113" s="213"/>
      <c r="BH113" s="214"/>
      <c r="BI113" s="215"/>
      <c r="BJ113" s="213"/>
      <c r="BK113" s="213"/>
      <c r="BL113" s="213"/>
      <c r="BM113" s="213"/>
      <c r="BN113" s="213"/>
      <c r="BO113" s="216"/>
      <c r="BP113" s="212"/>
      <c r="BQ113" s="213"/>
      <c r="BR113" s="213"/>
      <c r="BS113" s="213"/>
      <c r="BT113" s="213"/>
      <c r="BU113" s="213"/>
      <c r="BV113" s="213"/>
      <c r="BW113" s="213"/>
      <c r="BX113" s="214"/>
    </row>
    <row r="114" spans="1:76" s="17" customFormat="1" outlineLevel="1">
      <c r="A114"/>
      <c r="B114" s="1" t="s">
        <v>21</v>
      </c>
      <c r="C114"/>
      <c r="D114" s="188" t="s">
        <v>33</v>
      </c>
      <c r="E114" s="193">
        <v>241</v>
      </c>
      <c r="F114" s="189">
        <v>480</v>
      </c>
      <c r="G114" s="189">
        <v>575</v>
      </c>
      <c r="H114" s="189">
        <v>284</v>
      </c>
      <c r="I114" s="189">
        <v>274</v>
      </c>
      <c r="J114" s="189">
        <v>0</v>
      </c>
      <c r="K114" s="189">
        <v>143.59447</v>
      </c>
      <c r="L114" s="189">
        <v>572</v>
      </c>
      <c r="M114" s="189">
        <v>240</v>
      </c>
      <c r="N114" s="189">
        <v>262</v>
      </c>
      <c r="O114" s="189">
        <v>316</v>
      </c>
      <c r="P114" s="189">
        <v>371</v>
      </c>
      <c r="Q114" s="189">
        <v>423</v>
      </c>
      <c r="R114" s="189">
        <v>440</v>
      </c>
      <c r="S114" s="189">
        <v>460</v>
      </c>
      <c r="T114" s="189">
        <v>238.05</v>
      </c>
      <c r="U114" s="189">
        <v>166.15222</v>
      </c>
      <c r="V114" s="189">
        <v>100.51005000000001</v>
      </c>
      <c r="W114" s="189">
        <v>57.767269999999996</v>
      </c>
      <c r="X114" s="189">
        <v>27.309989999999999</v>
      </c>
      <c r="Y114" s="189">
        <v>47.969560000000001</v>
      </c>
      <c r="Z114" s="189">
        <v>85.355999999999995</v>
      </c>
      <c r="AA114" s="189">
        <v>117.01650000000001</v>
      </c>
      <c r="AB114" s="189">
        <v>137.13216999999992</v>
      </c>
      <c r="AC114" s="194">
        <v>178.04467000000005</v>
      </c>
      <c r="AD114" s="452">
        <f t="shared" ca="1" si="34"/>
        <v>0</v>
      </c>
      <c r="AE114" s="273">
        <f t="shared" si="34"/>
        <v>0</v>
      </c>
      <c r="AF114" s="180" cm="1">
        <f t="array" aca="1" ref="AF114" ca="1">(SUMPRODUCT(E114:AC114,$E$119:$AC$119)+SUMPRODUCT(E114:AC114,$E$120:$AC$120,AZ114:BX114))/(SUMPRODUCT($E$119:$AC$119*(E114:AC114&lt;&gt;0))+SUMPRODUCT($E$120:$AC$120*AZ114:BX114*(E114:AC114&lt;&gt;0)))</f>
        <v>277.08572533051495</v>
      </c>
      <c r="AG114" s="228">
        <f t="shared" ca="1" si="36"/>
        <v>0</v>
      </c>
      <c r="AH114" s="236">
        <f t="shared" ca="1" si="31"/>
        <v>0</v>
      </c>
      <c r="AI114" s="235">
        <v>0</v>
      </c>
      <c r="AJ114" s="231">
        <f t="shared" ca="1" si="37"/>
        <v>0</v>
      </c>
      <c r="AK114" s="244">
        <f ca="1">IF(Tariff_SimCalculation!X13,SUMIFS($AJ$109:$AJ$115,Tariff_SimCalculation!$X$8:$X$14,1)/(SUMIFS($AD$109:$AD$115,Tariff_SimCalculation!$X$8:$X$14,1)+SUMIFS($AE$109:$AE$115,Tariff_SimCalculation!$X$8:$X$14,1)*(1-discount_DZK)),"")</f>
        <v>1.2073671671710937</v>
      </c>
      <c r="AL114" s="235"/>
      <c r="AM114"/>
      <c r="AO114" s="235">
        <f t="shared" ca="1" si="35"/>
        <v>1.2073671671710937</v>
      </c>
      <c r="AP114" s="235">
        <f t="shared" si="32"/>
        <v>0</v>
      </c>
      <c r="AQ114"/>
      <c r="AR114" s="3">
        <v>1</v>
      </c>
      <c r="AS114" s="468">
        <f t="shared" ca="1" si="33"/>
        <v>1.2777252245189243</v>
      </c>
      <c r="AT114" s="235">
        <f t="shared" ca="1" si="33"/>
        <v>0</v>
      </c>
      <c r="AY114" s="178" t="s">
        <v>33</v>
      </c>
      <c r="AZ114" s="212"/>
      <c r="BA114" s="213"/>
      <c r="BB114" s="213"/>
      <c r="BC114" s="213"/>
      <c r="BD114" s="213"/>
      <c r="BE114" s="213"/>
      <c r="BF114" s="213"/>
      <c r="BG114" s="213"/>
      <c r="BH114" s="214"/>
      <c r="BI114" s="215"/>
      <c r="BJ114" s="213"/>
      <c r="BK114" s="213"/>
      <c r="BL114" s="213"/>
      <c r="BM114" s="213"/>
      <c r="BN114" s="213"/>
      <c r="BO114" s="216"/>
      <c r="BP114" s="212"/>
      <c r="BQ114" s="213"/>
      <c r="BR114" s="213"/>
      <c r="BS114" s="213"/>
      <c r="BT114" s="213"/>
      <c r="BU114" s="213"/>
      <c r="BV114" s="213"/>
      <c r="BW114" s="213"/>
      <c r="BX114" s="214"/>
    </row>
    <row r="115" spans="1:76" s="17" customFormat="1" outlineLevel="1">
      <c r="A115"/>
      <c r="B115" s="1" t="s">
        <v>21</v>
      </c>
      <c r="C115"/>
      <c r="D115" s="188" t="s">
        <v>20</v>
      </c>
      <c r="E115" s="193">
        <v>384.59447</v>
      </c>
      <c r="F115" s="189">
        <v>623.59447</v>
      </c>
      <c r="G115" s="189">
        <v>718.59447</v>
      </c>
      <c r="H115" s="189">
        <v>427.59447</v>
      </c>
      <c r="I115" s="189">
        <v>417.59447</v>
      </c>
      <c r="J115" s="189">
        <v>143.59447</v>
      </c>
      <c r="K115" s="189">
        <v>0</v>
      </c>
      <c r="L115" s="189">
        <v>715.59447</v>
      </c>
      <c r="M115" s="189">
        <v>383.59447</v>
      </c>
      <c r="N115" s="189">
        <v>405.59447</v>
      </c>
      <c r="O115" s="189">
        <v>459.59447</v>
      </c>
      <c r="P115" s="189">
        <v>514.59447</v>
      </c>
      <c r="Q115" s="189">
        <v>566.59447</v>
      </c>
      <c r="R115" s="189">
        <v>583.59447</v>
      </c>
      <c r="S115" s="189">
        <v>603.59447</v>
      </c>
      <c r="T115" s="189">
        <v>381.64447000000001</v>
      </c>
      <c r="U115" s="189">
        <v>309.74669</v>
      </c>
      <c r="V115" s="189">
        <v>244.10452000000001</v>
      </c>
      <c r="W115" s="189">
        <v>201.36174</v>
      </c>
      <c r="X115" s="189">
        <v>170.90446</v>
      </c>
      <c r="Y115" s="189">
        <v>150.24489</v>
      </c>
      <c r="Z115" s="189">
        <v>112.85845</v>
      </c>
      <c r="AA115" s="189">
        <v>81.197949999999992</v>
      </c>
      <c r="AB115" s="189">
        <v>61.082280000000026</v>
      </c>
      <c r="AC115" s="194">
        <v>20.169780000000003</v>
      </c>
      <c r="AD115" s="452">
        <f t="shared" ca="1" si="34"/>
        <v>8746377.1931971237</v>
      </c>
      <c r="AE115" s="273">
        <f t="shared" ca="1" si="34"/>
        <v>521331</v>
      </c>
      <c r="AF115" s="180" cm="1">
        <f t="array" aca="1" ref="AF115" ca="1">(SUMPRODUCT(E115:AC115,$E$119:$AC$119)+SUMPRODUCT(E115:AC115,$E$120:$AC$120,AZ115:BX115))/(SUMPRODUCT($E$119:$AC$119*(E115:AC115&lt;&gt;0))+SUMPRODUCT($E$120:$AC$120*AZ115:BX115*(E115:AC115&lt;&gt;0)))</f>
        <v>430.89005224192414</v>
      </c>
      <c r="AG115" s="228">
        <f t="shared" ca="1" si="36"/>
        <v>0.30840303412981307</v>
      </c>
      <c r="AH115" s="236">
        <f t="shared" ca="1" si="31"/>
        <v>2.230475685964953</v>
      </c>
      <c r="AI115" s="235">
        <f ca="1">(1-discount_DZK)*AH115</f>
        <v>2.0074281173684576</v>
      </c>
      <c r="AJ115" s="231">
        <f t="shared" ca="1" si="37"/>
        <v>20555116.177560389</v>
      </c>
      <c r="AK115" s="244">
        <f ca="1">IF(Tariff_SimCalculation!X14,SUMIFS($AJ$109:$AJ$115,Tariff_SimCalculation!$X$8:$X$14,1)/(SUMIFS($AD$109:$AD$115,Tariff_SimCalculation!$X$8:$X$14,1)+SUMIFS($AE$109:$AE$115,Tariff_SimCalculation!$X$8:$X$14,1)*(1-discount_DZK)),"")</f>
        <v>1.2073671671710937</v>
      </c>
      <c r="AL115" s="235"/>
      <c r="AM115"/>
      <c r="AO115" s="235">
        <f t="shared" ca="1" si="35"/>
        <v>1.2073671671710937</v>
      </c>
      <c r="AP115" s="235">
        <f ca="1">(1-discount_DZK)*AO115</f>
        <v>1.0866304504539843</v>
      </c>
      <c r="AQ115"/>
      <c r="AR115" s="3">
        <v>1</v>
      </c>
      <c r="AS115" s="468">
        <f t="shared" ca="1" si="33"/>
        <v>1.2777252245189243</v>
      </c>
      <c r="AT115" s="468">
        <f t="shared" ca="1" si="33"/>
        <v>1.1499527020670319</v>
      </c>
      <c r="AY115" s="178" t="s">
        <v>20</v>
      </c>
      <c r="AZ115" s="212"/>
      <c r="BA115" s="213"/>
      <c r="BB115" s="213"/>
      <c r="BC115" s="213"/>
      <c r="BD115" s="213"/>
      <c r="BE115" s="213"/>
      <c r="BF115" s="213"/>
      <c r="BG115" s="213"/>
      <c r="BH115" s="214"/>
      <c r="BI115" s="215"/>
      <c r="BJ115" s="213"/>
      <c r="BK115" s="213"/>
      <c r="BL115" s="213"/>
      <c r="BM115" s="213"/>
      <c r="BN115" s="213"/>
      <c r="BO115" s="216"/>
      <c r="BP115" s="212"/>
      <c r="BQ115" s="213"/>
      <c r="BR115" s="213"/>
      <c r="BS115" s="213"/>
      <c r="BT115" s="213"/>
      <c r="BU115" s="213">
        <v>1</v>
      </c>
      <c r="BV115" s="213">
        <v>1</v>
      </c>
      <c r="BW115" s="213">
        <v>1</v>
      </c>
      <c r="BX115" s="214">
        <v>1</v>
      </c>
    </row>
    <row r="116" spans="1:76" s="17" customFormat="1" outlineLevel="1">
      <c r="A116"/>
      <c r="B116" s="1" t="s">
        <v>21</v>
      </c>
      <c r="C116"/>
      <c r="D116" s="188" t="s">
        <v>56</v>
      </c>
      <c r="E116" s="193">
        <v>337</v>
      </c>
      <c r="F116" s="189">
        <v>92</v>
      </c>
      <c r="G116" s="189">
        <v>3</v>
      </c>
      <c r="H116" s="189">
        <v>380</v>
      </c>
      <c r="I116" s="189">
        <v>370</v>
      </c>
      <c r="J116" s="189">
        <v>572</v>
      </c>
      <c r="K116" s="189">
        <v>715.59447</v>
      </c>
      <c r="L116" s="189">
        <v>0</v>
      </c>
      <c r="M116" s="189">
        <v>336</v>
      </c>
      <c r="N116" s="189">
        <v>310</v>
      </c>
      <c r="O116" s="189">
        <v>412</v>
      </c>
      <c r="P116" s="189">
        <v>467</v>
      </c>
      <c r="Q116" s="189">
        <v>519</v>
      </c>
      <c r="R116" s="189">
        <v>536</v>
      </c>
      <c r="S116" s="189">
        <v>556</v>
      </c>
      <c r="T116" s="189">
        <v>334.05</v>
      </c>
      <c r="U116" s="189">
        <v>405.84778</v>
      </c>
      <c r="V116" s="189">
        <v>471.48995000000002</v>
      </c>
      <c r="W116" s="189">
        <v>514.23272999999995</v>
      </c>
      <c r="X116" s="189">
        <v>544.69001000000003</v>
      </c>
      <c r="Y116" s="189">
        <v>565.34958000000006</v>
      </c>
      <c r="Z116" s="189">
        <v>602.73602000000005</v>
      </c>
      <c r="AA116" s="189">
        <v>634.39652000000001</v>
      </c>
      <c r="AB116" s="189">
        <v>654.51218999999992</v>
      </c>
      <c r="AC116" s="194">
        <v>695.42469000000006</v>
      </c>
      <c r="AD116" s="452">
        <f t="shared" ca="1" si="34"/>
        <v>0</v>
      </c>
      <c r="AE116" s="273">
        <f t="shared" si="34"/>
        <v>0</v>
      </c>
      <c r="AF116" s="180" cm="1">
        <f t="array" aca="1" ref="AF116" ca="1">(SUMPRODUCT(E116:AC116,$E$119:$AC$119)+SUMPRODUCT(E116:AC116,$E$120:$AC$120,AZ116:BX116))/(SUMPRODUCT($E$119:$AC$119*(E116:AC116&lt;&gt;0))+SUMPRODUCT($E$120:$AC$120*AZ116:BX116*(E116:AC116&lt;&gt;0)))</f>
        <v>338.48899589390766</v>
      </c>
      <c r="AG116" s="228">
        <f t="shared" ca="1" si="36"/>
        <v>0</v>
      </c>
      <c r="AH116" s="236">
        <f t="shared" ca="1" si="31"/>
        <v>0</v>
      </c>
      <c r="AI116" s="235">
        <v>0</v>
      </c>
      <c r="AJ116" s="231">
        <f t="shared" ca="1" si="37"/>
        <v>0</v>
      </c>
      <c r="AL116" s="235"/>
      <c r="AM116" s="243">
        <f ca="1">AH116*(1-discount_storage_entry)</f>
        <v>0</v>
      </c>
      <c r="AO116" s="294">
        <f ca="1">IF(AM116&lt;&gt;"",AM116,AH116)</f>
        <v>0</v>
      </c>
      <c r="AP116" s="235">
        <f t="shared" si="32"/>
        <v>0</v>
      </c>
      <c r="AQ116"/>
      <c r="AR116" s="3">
        <v>1</v>
      </c>
      <c r="AS116" s="468">
        <f t="shared" ca="1" si="33"/>
        <v>0</v>
      </c>
      <c r="AT116" s="235">
        <f t="shared" ca="1" si="33"/>
        <v>0</v>
      </c>
      <c r="AY116" s="178" t="s">
        <v>56</v>
      </c>
      <c r="AZ116" s="212"/>
      <c r="BA116" s="213"/>
      <c r="BB116" s="213"/>
      <c r="BC116" s="213"/>
      <c r="BD116" s="213"/>
      <c r="BE116" s="213"/>
      <c r="BF116" s="213"/>
      <c r="BG116" s="213"/>
      <c r="BH116" s="214"/>
      <c r="BI116" s="215"/>
      <c r="BJ116" s="213"/>
      <c r="BK116" s="213"/>
      <c r="BL116" s="213"/>
      <c r="BM116" s="213"/>
      <c r="BN116" s="213"/>
      <c r="BO116" s="216"/>
      <c r="BP116" s="212"/>
      <c r="BQ116" s="213"/>
      <c r="BR116" s="213"/>
      <c r="BS116" s="213"/>
      <c r="BT116" s="213"/>
      <c r="BU116" s="213"/>
      <c r="BV116" s="213"/>
      <c r="BW116" s="213"/>
      <c r="BX116" s="214"/>
    </row>
    <row r="117" spans="1:76" s="17" customFormat="1" ht="15.75" outlineLevel="1" thickBot="1">
      <c r="A117"/>
      <c r="B117" s="1" t="s">
        <v>21</v>
      </c>
      <c r="C117"/>
      <c r="D117" s="188" t="s">
        <v>25</v>
      </c>
      <c r="E117" s="193">
        <v>5</v>
      </c>
      <c r="F117" s="189">
        <v>244</v>
      </c>
      <c r="G117" s="189">
        <v>339</v>
      </c>
      <c r="H117" s="189">
        <v>48</v>
      </c>
      <c r="I117" s="189">
        <v>38</v>
      </c>
      <c r="J117" s="189">
        <v>240</v>
      </c>
      <c r="K117" s="189">
        <v>383.59447</v>
      </c>
      <c r="L117" s="189">
        <v>336</v>
      </c>
      <c r="M117" s="189">
        <v>0</v>
      </c>
      <c r="N117" s="189">
        <v>26</v>
      </c>
      <c r="O117" s="189">
        <v>80</v>
      </c>
      <c r="P117" s="189">
        <v>135</v>
      </c>
      <c r="Q117" s="189">
        <v>187</v>
      </c>
      <c r="R117" s="189">
        <v>204</v>
      </c>
      <c r="S117" s="189">
        <v>224</v>
      </c>
      <c r="T117" s="189">
        <v>2.0499999999999998</v>
      </c>
      <c r="U117" s="189">
        <v>73.84778</v>
      </c>
      <c r="V117" s="189">
        <v>139.48994999999999</v>
      </c>
      <c r="W117" s="189">
        <v>182.23273</v>
      </c>
      <c r="X117" s="189">
        <v>212.69001</v>
      </c>
      <c r="Y117" s="189">
        <v>233.34958</v>
      </c>
      <c r="Z117" s="189">
        <v>270.73602</v>
      </c>
      <c r="AA117" s="189">
        <v>302.39652000000001</v>
      </c>
      <c r="AB117" s="189">
        <v>322.51218999999998</v>
      </c>
      <c r="AC117" s="194">
        <v>363.42469</v>
      </c>
      <c r="AD117" s="452">
        <f t="shared" ca="1" si="34"/>
        <v>7991748.5196698848</v>
      </c>
      <c r="AE117" s="273">
        <f t="shared" si="34"/>
        <v>0</v>
      </c>
      <c r="AF117" s="180" cm="1">
        <f t="array" aca="1" ref="AF117" ca="1">(SUMPRODUCT(E117:AC117,$E$119:$AC$119)+SUMPRODUCT(E117:AC117,$E$120:$AC$120,AZ117:BX117))/(SUMPRODUCT($E$119:$AC$119*(E117:AC117&lt;&gt;0))+SUMPRODUCT($E$120:$AC$120*AZ117:BX117*(E117:AC117&lt;&gt;0)))</f>
        <v>127.22616159098912</v>
      </c>
      <c r="AG117" s="228">
        <f t="shared" ca="1" si="36"/>
        <v>7.8523212200919512E-2</v>
      </c>
      <c r="AH117" s="236">
        <f t="shared" ca="1" si="31"/>
        <v>0.65487368844999738</v>
      </c>
      <c r="AI117" s="235">
        <v>0</v>
      </c>
      <c r="AJ117" s="231">
        <f t="shared" ca="1" si="37"/>
        <v>5233585.8302410236</v>
      </c>
      <c r="AL117" s="235"/>
      <c r="AM117" s="243">
        <f ca="1">AH117*(1-discount_storage_entry)</f>
        <v>0</v>
      </c>
      <c r="AO117" s="294">
        <f ca="1">IF(AM117&lt;&gt;"",AM117,AH117)</f>
        <v>0</v>
      </c>
      <c r="AP117" s="235">
        <f t="shared" si="32"/>
        <v>0</v>
      </c>
      <c r="AQ117"/>
      <c r="AR117" s="3">
        <v>1</v>
      </c>
      <c r="AS117" s="468">
        <f t="shared" ca="1" si="33"/>
        <v>0</v>
      </c>
      <c r="AT117" s="235">
        <f t="shared" ca="1" si="33"/>
        <v>0</v>
      </c>
      <c r="AY117" s="179" t="s">
        <v>25</v>
      </c>
      <c r="AZ117" s="217"/>
      <c r="BA117" s="218"/>
      <c r="BB117" s="218"/>
      <c r="BC117" s="218"/>
      <c r="BD117" s="218"/>
      <c r="BE117" s="218"/>
      <c r="BF117" s="218"/>
      <c r="BG117" s="218"/>
      <c r="BH117" s="219"/>
      <c r="BI117" s="220"/>
      <c r="BJ117" s="221"/>
      <c r="BK117" s="221"/>
      <c r="BL117" s="221"/>
      <c r="BM117" s="221"/>
      <c r="BN117" s="221"/>
      <c r="BO117" s="222"/>
      <c r="BP117" s="217"/>
      <c r="BQ117" s="218"/>
      <c r="BR117" s="218"/>
      <c r="BS117" s="218"/>
      <c r="BT117" s="218"/>
      <c r="BU117" s="218"/>
      <c r="BV117" s="218"/>
      <c r="BW117" s="218"/>
      <c r="BX117" s="219"/>
    </row>
    <row r="118" spans="1:76" s="17" customFormat="1" ht="15.75" outlineLevel="1" thickBot="1">
      <c r="A118"/>
      <c r="B118" s="1" t="s">
        <v>21</v>
      </c>
      <c r="C118"/>
      <c r="D118" s="240" t="s">
        <v>35</v>
      </c>
      <c r="E118" s="195">
        <v>27</v>
      </c>
      <c r="F118" s="196">
        <v>218</v>
      </c>
      <c r="G118" s="196">
        <v>313</v>
      </c>
      <c r="H118" s="196">
        <v>70</v>
      </c>
      <c r="I118" s="196">
        <v>60</v>
      </c>
      <c r="J118" s="196">
        <v>262</v>
      </c>
      <c r="K118" s="196">
        <v>405.59447</v>
      </c>
      <c r="L118" s="196">
        <v>310</v>
      </c>
      <c r="M118" s="196">
        <v>26</v>
      </c>
      <c r="N118" s="196">
        <v>0</v>
      </c>
      <c r="O118" s="196">
        <v>54</v>
      </c>
      <c r="P118" s="196">
        <v>109</v>
      </c>
      <c r="Q118" s="196">
        <v>161</v>
      </c>
      <c r="R118" s="196">
        <v>178</v>
      </c>
      <c r="S118" s="196">
        <v>198</v>
      </c>
      <c r="T118" s="196">
        <v>24</v>
      </c>
      <c r="U118" s="196">
        <v>95.84778</v>
      </c>
      <c r="V118" s="196">
        <v>161.48994999999999</v>
      </c>
      <c r="W118" s="196">
        <v>204.23273</v>
      </c>
      <c r="X118" s="196">
        <v>234.69001</v>
      </c>
      <c r="Y118" s="196">
        <v>255.34958</v>
      </c>
      <c r="Z118" s="196">
        <v>292.73602</v>
      </c>
      <c r="AA118" s="196">
        <v>324.39652000000001</v>
      </c>
      <c r="AB118" s="196">
        <v>344.51218999999998</v>
      </c>
      <c r="AC118" s="197">
        <v>385.42469</v>
      </c>
      <c r="AD118" s="453">
        <f t="shared" ca="1" si="34"/>
        <v>4028400.0000000009</v>
      </c>
      <c r="AE118" s="200">
        <f t="shared" si="34"/>
        <v>0</v>
      </c>
      <c r="AF118" s="180" cm="1">
        <f t="array" aca="1" ref="AF118" ca="1">(SUMPRODUCT(E118:AC118,$E$119:$AC$119)+SUMPRODUCT(E118:AC118,$E$120:$AC$120,AZ118:BX118))/(SUMPRODUCT($E$119:$AC$119*(E118:AC118&lt;&gt;0))+SUMPRODUCT($E$120:$AC$120*AZ118:BX118*(E118:AC118&lt;&gt;0)))</f>
        <v>124.83464988785683</v>
      </c>
      <c r="AG118" s="228">
        <f t="shared" ca="1" si="36"/>
        <v>3.8837168396094641E-2</v>
      </c>
      <c r="AH118" s="236">
        <f t="shared" ca="1" si="31"/>
        <v>0.64256381388947681</v>
      </c>
      <c r="AI118" s="235">
        <v>0</v>
      </c>
      <c r="AJ118" s="231">
        <f t="shared" ca="1" si="37"/>
        <v>2588504.0678723692</v>
      </c>
      <c r="AL118" s="235"/>
      <c r="AM118" s="243">
        <f ca="1">AH118*(1-discount_storage_entry)</f>
        <v>0</v>
      </c>
      <c r="AO118" s="294">
        <f ca="1">IF(AM118&lt;&gt;"",AM118,AH118)</f>
        <v>0</v>
      </c>
      <c r="AP118" s="235">
        <f t="shared" si="32"/>
        <v>0</v>
      </c>
      <c r="AQ118"/>
      <c r="AR118" s="3">
        <v>1</v>
      </c>
      <c r="AS118" s="468">
        <f t="shared" ca="1" si="33"/>
        <v>0</v>
      </c>
      <c r="AT118" s="235">
        <f t="shared" ca="1" si="33"/>
        <v>0</v>
      </c>
      <c r="AY118" s="177" t="s">
        <v>40</v>
      </c>
      <c r="AZ118" s="223"/>
      <c r="BA118" s="224"/>
      <c r="BB118" s="224"/>
      <c r="BC118" s="224"/>
      <c r="BD118" s="224"/>
      <c r="BE118" s="224"/>
      <c r="BF118" s="224"/>
      <c r="BG118" s="224"/>
      <c r="BH118" s="225"/>
      <c r="BI118" s="207"/>
      <c r="BJ118" s="208"/>
      <c r="BK118" s="208"/>
      <c r="BL118" s="208"/>
      <c r="BM118" s="208"/>
      <c r="BN118" s="208"/>
      <c r="BO118" s="209"/>
      <c r="BP118" s="226"/>
      <c r="BQ118" s="224"/>
      <c r="BR118" s="224"/>
      <c r="BS118" s="224"/>
      <c r="BT118" s="224"/>
      <c r="BU118" s="224"/>
      <c r="BV118" s="224"/>
      <c r="BW118" s="224"/>
      <c r="BX118" s="227"/>
    </row>
    <row r="119" spans="1:76" s="17" customFormat="1" outlineLevel="1">
      <c r="A119"/>
      <c r="B119" s="1" t="s">
        <v>31</v>
      </c>
      <c r="C119" s="3"/>
      <c r="D119" s="171" t="s">
        <v>170</v>
      </c>
      <c r="E119" s="201">
        <f ca="1">SUMIFS($G$53:$G$98,$F$53:$F$98,E$108,$D$53:$D$98,E$107,$E$53:$E$98,$B119)</f>
        <v>4599480.7206585268</v>
      </c>
      <c r="F119" s="202">
        <f t="shared" ref="F119:AC120" ca="1" si="38">SUMIFS($G$53:$G$98,$F$53:$F$98,F$108,$D$53:$D$98,F$107,$E$53:$E$98,$B119)</f>
        <v>13795957.000000002</v>
      </c>
      <c r="G119" s="202">
        <f t="shared" ca="1" si="38"/>
        <v>324117.03253424657</v>
      </c>
      <c r="H119" s="202">
        <f t="shared" ca="1" si="38"/>
        <v>5747512.6909736302</v>
      </c>
      <c r="I119" s="202">
        <f t="shared" ca="1" si="38"/>
        <v>0</v>
      </c>
      <c r="J119" s="202">
        <f t="shared" ca="1" si="38"/>
        <v>638698.63013698626</v>
      </c>
      <c r="K119" s="202">
        <f t="shared" ca="1" si="38"/>
        <v>6683747</v>
      </c>
      <c r="L119" s="202">
        <f t="shared" ca="1" si="38"/>
        <v>0</v>
      </c>
      <c r="M119" s="205">
        <f t="shared" ca="1" si="38"/>
        <v>7259625.5002553957</v>
      </c>
      <c r="N119" s="201">
        <f t="shared" ca="1" si="38"/>
        <v>0</v>
      </c>
      <c r="O119" s="202">
        <f t="shared" ca="1" si="38"/>
        <v>0</v>
      </c>
      <c r="P119" s="202">
        <f t="shared" ca="1" si="38"/>
        <v>0</v>
      </c>
      <c r="Q119" s="202">
        <f t="shared" ca="1" si="38"/>
        <v>0</v>
      </c>
      <c r="R119" s="202">
        <f t="shared" ca="1" si="38"/>
        <v>0</v>
      </c>
      <c r="S119" s="202">
        <f t="shared" ca="1" si="38"/>
        <v>0</v>
      </c>
      <c r="T119" s="202">
        <f t="shared" ca="1" si="38"/>
        <v>21422795</v>
      </c>
      <c r="U119" s="202">
        <f t="shared" ca="1" si="38"/>
        <v>1111502.9999999988</v>
      </c>
      <c r="V119" s="202">
        <f t="shared" ca="1" si="38"/>
        <v>166730.99999999983</v>
      </c>
      <c r="W119" s="202">
        <f t="shared" ca="1" si="38"/>
        <v>221438.99999999977</v>
      </c>
      <c r="X119" s="202">
        <f t="shared" ca="1" si="38"/>
        <v>1952542.9999999979</v>
      </c>
      <c r="Y119" s="202">
        <f t="shared" ca="1" si="38"/>
        <v>110455.99999999988</v>
      </c>
      <c r="Z119" s="202">
        <f t="shared" ca="1" si="38"/>
        <v>55222.999999999942</v>
      </c>
      <c r="AA119" s="202">
        <f t="shared" ca="1" si="38"/>
        <v>22021.999999999978</v>
      </c>
      <c r="AB119" s="202">
        <f t="shared" ca="1" si="38"/>
        <v>110086.9999999999</v>
      </c>
      <c r="AC119" s="203">
        <f t="shared" ca="1" si="38"/>
        <v>284538.99999999971</v>
      </c>
      <c r="AD119"/>
      <c r="AE119"/>
      <c r="AF119"/>
      <c r="AG119"/>
      <c r="AH119"/>
      <c r="AI119" s="184"/>
      <c r="AJ119" s="241">
        <f ca="1">SUM(AJ109:AJ118)</f>
        <v>66650174.942534223</v>
      </c>
      <c r="AM119"/>
      <c r="AO119"/>
      <c r="AP119"/>
      <c r="AQ119"/>
      <c r="AR119"/>
      <c r="AS119"/>
      <c r="AT119"/>
    </row>
    <row r="120" spans="1:76" s="17" customFormat="1" ht="15.75" outlineLevel="1" thickBot="1">
      <c r="A120"/>
      <c r="B120" s="1" t="s">
        <v>32</v>
      </c>
      <c r="C120" s="3"/>
      <c r="D120" s="171" t="s">
        <v>170</v>
      </c>
      <c r="E120" s="198">
        <f>SUMIFS($G$53:$G$98,$F$53:$F$98,E$108,$D$53:$D$98,E$107,$E$53:$E$98,$B120)</f>
        <v>0</v>
      </c>
      <c r="F120" s="199">
        <f t="shared" si="38"/>
        <v>0</v>
      </c>
      <c r="G120" s="199">
        <f t="shared" ca="1" si="38"/>
        <v>6431372.0000000019</v>
      </c>
      <c r="H120" s="199">
        <f t="shared" si="38"/>
        <v>0</v>
      </c>
      <c r="I120" s="199">
        <f t="shared" si="38"/>
        <v>0</v>
      </c>
      <c r="J120" s="199">
        <f t="shared" si="38"/>
        <v>0</v>
      </c>
      <c r="K120" s="199">
        <f t="shared" si="38"/>
        <v>0</v>
      </c>
      <c r="L120" s="199">
        <f t="shared" si="38"/>
        <v>0</v>
      </c>
      <c r="M120" s="206">
        <f t="shared" si="38"/>
        <v>0</v>
      </c>
      <c r="N120" s="198">
        <f t="shared" ca="1" si="38"/>
        <v>4635629</v>
      </c>
      <c r="O120" s="199">
        <f t="shared" si="38"/>
        <v>0</v>
      </c>
      <c r="P120" s="199">
        <f t="shared" si="38"/>
        <v>0</v>
      </c>
      <c r="Q120" s="199">
        <f t="shared" si="38"/>
        <v>0</v>
      </c>
      <c r="R120" s="199">
        <f t="shared" ca="1" si="38"/>
        <v>2378663</v>
      </c>
      <c r="S120" s="199">
        <f t="shared" si="38"/>
        <v>0</v>
      </c>
      <c r="T120" s="199">
        <f t="shared" si="38"/>
        <v>0</v>
      </c>
      <c r="U120" s="199">
        <f t="shared" si="38"/>
        <v>0</v>
      </c>
      <c r="V120" s="199">
        <f t="shared" si="38"/>
        <v>0</v>
      </c>
      <c r="W120" s="199">
        <f t="shared" si="38"/>
        <v>0</v>
      </c>
      <c r="X120" s="199">
        <f t="shared" si="38"/>
        <v>0</v>
      </c>
      <c r="Y120" s="199">
        <f t="shared" si="38"/>
        <v>0</v>
      </c>
      <c r="Z120" s="199">
        <f t="shared" si="38"/>
        <v>0</v>
      </c>
      <c r="AA120" s="199">
        <f t="shared" si="38"/>
        <v>0</v>
      </c>
      <c r="AB120" s="199">
        <f t="shared" si="38"/>
        <v>0</v>
      </c>
      <c r="AC120" s="200">
        <f t="shared" si="38"/>
        <v>0</v>
      </c>
      <c r="AD120" s="148"/>
      <c r="AE120" s="233">
        <f ca="1">SUM(E119:AC120,AD109:AE118)</f>
        <v>139084393.18981758</v>
      </c>
      <c r="AF120" s="148"/>
      <c r="AG120" s="148"/>
      <c r="AH120" s="231">
        <f ca="1">SUMPRODUCT(AD109:AD118,AH109:AH118)</f>
        <v>59900956.363026403</v>
      </c>
      <c r="AI120" s="231">
        <f ca="1">SUMPRODUCT(AE109:AE118,AI109:AI118)</f>
        <v>6749218.5795078166</v>
      </c>
      <c r="AJ120" s="231">
        <f ca="1">AI120+AH120</f>
        <v>66650174.942534223</v>
      </c>
      <c r="AK120" s="148" t="s">
        <v>19</v>
      </c>
      <c r="AO120"/>
      <c r="AP120" s="245" t="s">
        <v>152</v>
      </c>
      <c r="AQ120"/>
      <c r="AR120"/>
      <c r="AS120" s="245" t="s">
        <v>161</v>
      </c>
      <c r="AT120"/>
    </row>
    <row r="121" spans="1:76" s="17" customFormat="1" outlineLevel="1">
      <c r="A121" s="10"/>
      <c r="B121" s="186"/>
      <c r="C121" s="186"/>
      <c r="D121" s="1" t="s">
        <v>320</v>
      </c>
      <c r="E121" s="230" cm="1">
        <f t="array" aca="1" ref="E121" ca="1">(SUMPRODUCT(E109:E118,$AD$109:$AD$118)+SUMPRODUCT(E109:E118,$AE$109:$AE$118,AZ109:AZ118))/(SUMPRODUCT($AD$109:$AD$118*(E$109:E$118&lt;&gt;0))+SUMPRODUCT($AE$109:$AE$118*AZ109:AZ118*(E$109:E$118&lt;&gt;0)))</f>
        <v>202.1104875236237</v>
      </c>
      <c r="F121" s="230" cm="1">
        <f t="array" aca="1" ref="F121" ca="1">(SUMPRODUCT(F109:F118,$AD$109:$AD$118)+SUMPRODUCT(F109:F118,$AE$109:$AE$118,BA109:BA118))/(SUMPRODUCT($AD$109:$AD$118*(F$109:F$118&lt;&gt;0))+SUMPRODUCT($AE$109:$AE$118*BA109:BA118*(F$109:F$118&lt;&gt;0)))</f>
        <v>292.57336253978286</v>
      </c>
      <c r="G121" s="230" cm="1">
        <f t="array" aca="1" ref="G121" ca="1">(SUMPRODUCT(G109:G118,$AD$109:$AD$118)+SUMPRODUCT(G109:G118,$AE$109:$AE$118,BB109:BB118))/(SUMPRODUCT($AD$109:$AD$118*(G$109:G$118&lt;&gt;0))+SUMPRODUCT($AE$109:$AE$118*BB109:BB118*(G$109:G$118&lt;&gt;0)))</f>
        <v>353.68490128982063</v>
      </c>
      <c r="H121" s="230" cm="1">
        <f t="array" aca="1" ref="H121" ca="1">(SUMPRODUCT(H109:H118,$AD$109:$AD$118)+SUMPRODUCT(H109:H118,$AE$109:$AE$118,BC109:BC118))/(SUMPRODUCT($AD$109:$AD$118*(H$109:H$118&lt;&gt;0))+SUMPRODUCT($AE$109:$AE$118*BC109:BC118*(H$109:H$118&lt;&gt;0)))</f>
        <v>160.60727801883894</v>
      </c>
      <c r="I121" s="230" cm="1">
        <f t="array" aca="1" ref="I121" ca="1">(SUMPRODUCT(I109:I118,$AD$109:$AD$118)+SUMPRODUCT(I109:I118,$AE$109:$AE$118,BD109:BD118))/(SUMPRODUCT($AD$109:$AD$118*(I$109:I$118&lt;&gt;0))+SUMPRODUCT($AE$109:$AE$118*BD109:BD118*(I$109:I$118&lt;&gt;0)))</f>
        <v>150.60727801883897</v>
      </c>
      <c r="J121" s="230" cm="1">
        <f t="array" aca="1" ref="J121" ca="1">(SUMPRODUCT(J109:J118,$AD$109:$AD$118)+SUMPRODUCT(J109:J118,$AE$109:$AE$118,BE109:BE118))/(SUMPRODUCT($AD$109:$AD$118*(J$109:J$118&lt;&gt;0))+SUMPRODUCT($AE$109:$AE$118*BE109:BE118*(J$109:J$118&lt;&gt;0)))</f>
        <v>279.8912888515174</v>
      </c>
      <c r="K121" s="230" cm="1">
        <f t="array" aca="1" ref="K121" ca="1">(SUMPRODUCT(K109:K118,$AD$109:$AD$118)+SUMPRODUCT(K109:K118,$AE$109:$AE$118,BF109:BF118))/(SUMPRODUCT($AD$109:$AD$118*(K$109:K$118&lt;&gt;0))+SUMPRODUCT($AE$109:$AE$118*BF109:BF118*(K$109:K$118&lt;&gt;0)))</f>
        <v>448.06138728440214</v>
      </c>
      <c r="L121" s="230" cm="1">
        <f t="array" aca="1" ref="L121" ca="1">(SUMPRODUCT(L109:L118,$AD$109:$AD$118)+SUMPRODUCT(L109:L118,$AE$109:$AE$118,BG109:BG118))/(SUMPRODUCT($AD$109:$AD$118*(L$109:L$118&lt;&gt;0))+SUMPRODUCT($AE$109:$AE$118*BG109:BG118*(L$109:L$118&lt;&gt;0)))</f>
        <v>339.32086060243074</v>
      </c>
      <c r="M121" s="230" cm="1">
        <f t="array" aca="1" ref="M121" ca="1">(SUMPRODUCT(M109:M118,$AD$109:$AD$118)+SUMPRODUCT(M109:M118,$AE$109:$AE$118,BH109:BH118))/(SUMPRODUCT($AD$109:$AD$118*(M$109:M$118&lt;&gt;0))+SUMPRODUCT($AE$109:$AE$118*BH109:BH118*(M$109:M$118&lt;&gt;0)))</f>
        <v>134.87543370220433</v>
      </c>
      <c r="N121" s="230" cm="1">
        <f t="array" aca="1" ref="N121" ca="1">(SUMPRODUCT(N109:N118,$AD$109:$AD$118)+SUMPRODUCT(N109:N118,$AE$109:$AE$118,BI109:BI118))/(SUMPRODUCT($AD$109:$AD$118*(N$109:N$118&lt;&gt;0))+SUMPRODUCT($AE$109:$AE$118*BI109:BI118*(N$109:N$118&lt;&gt;0)))</f>
        <v>134.80816940342527</v>
      </c>
      <c r="O121" s="230" cm="1">
        <f t="array" aca="1" ref="O121" ca="1">(SUMPRODUCT(O109:O118,$AD$109:$AD$118)+SUMPRODUCT(O109:O118,$AE$109:$AE$118,BJ109:BJ118))/(SUMPRODUCT($AD$109:$AD$118*(O$109:O$118&lt;&gt;0))+SUMPRODUCT($AE$109:$AE$118*BJ109:BJ118*(O$109:O$118&lt;&gt;0)))</f>
        <v>157.0323897638383</v>
      </c>
      <c r="P121" s="230" cm="1">
        <f t="array" aca="1" ref="P121" ca="1">(SUMPRODUCT(P109:P118,$AD$109:$AD$118)+SUMPRODUCT(P109:P118,$AE$109:$AE$118,BK109:BK118))/(SUMPRODUCT($AD$109:$AD$118*(P$109:P$118&lt;&gt;0))+SUMPRODUCT($AE$109:$AE$118*BK109:BK118*(P$109:P$118&lt;&gt;0)))</f>
        <v>189.3289563662162</v>
      </c>
      <c r="Q121" s="230" cm="1">
        <f t="array" aca="1" ref="Q121" ca="1">(SUMPRODUCT(Q109:Q118,$AD$109:$AD$118)+SUMPRODUCT(Q109:Q118,$AE$109:$AE$118,BL109:BL118))/(SUMPRODUCT($AD$109:$AD$118*(Q$109:Q$118&lt;&gt;0))+SUMPRODUCT($AE$109:$AE$118*BL109:BL118*(Q$109:Q$118&lt;&gt;0)))</f>
        <v>219.86389206300984</v>
      </c>
      <c r="R121" s="230" cm="1">
        <f t="array" aca="1" ref="R121" ca="1">(SUMPRODUCT(R109:R118,$AD$109:$AD$118)+SUMPRODUCT(R109:R118,$AE$109:$AE$118,BM109:BM118))/(SUMPRODUCT($AD$109:$AD$118*(R$109:R$118&lt;&gt;0))+SUMPRODUCT($AE$109:$AE$118*BM109:BM118*(R$109:R$118&lt;&gt;0)))</f>
        <v>229.84646719465397</v>
      </c>
      <c r="S121" s="230" cm="1">
        <f t="array" aca="1" ref="S121" ca="1">(SUMPRODUCT(S109:S118,$AD$109:$AD$118)+SUMPRODUCT(S109:S118,$AE$109:$AE$118,BN109:BN118))/(SUMPRODUCT($AD$109:$AD$118*(S$109:S$118&lt;&gt;0))+SUMPRODUCT($AE$109:$AE$118*BN109:BN118*(S$109:S$118&lt;&gt;0)))</f>
        <v>241.59067323188225</v>
      </c>
      <c r="T121" s="230" cm="1">
        <f t="array" aca="1" ref="T121" ca="1">(SUMPRODUCT(T109:T118,$AD$109:$AD$118)+SUMPRODUCT(T109:T118,$AE$109:$AE$118,BO109:BO118))/(SUMPRODUCT($AD$109:$AD$118*(T$109:T$118&lt;&gt;0))+SUMPRODUCT($AE$109:$AE$118*BO109:BO118*(T$109:T$118&lt;&gt;0)))</f>
        <v>114.63312052164015</v>
      </c>
      <c r="U121" s="230" cm="1">
        <f t="array" aca="1" ref="U121" ca="1">(SUMPRODUCT(U109:U118,$AD$109:$AD$118)+SUMPRODUCT(U109:U118,$AE$109:$AE$118,BP109:BP118))/(SUMPRODUCT($AD$109:$AD$118*(U$109:U$118&lt;&gt;0))+SUMPRODUCT($AE$109:$AE$118*BP109:BP118*(U$109:U$118&lt;&gt;0)))</f>
        <v>164.50345132902339</v>
      </c>
      <c r="V121" s="230" cm="1">
        <f t="array" aca="1" ref="V121" ca="1">(SUMPRODUCT(V109:V118,$AD$109:$AD$118)+SUMPRODUCT(V109:V118,$AE$109:$AE$118,BQ109:BQ118))/(SUMPRODUCT($AD$109:$AD$118*(V$109:V$118&lt;&gt;0))+SUMPRODUCT($AE$109:$AE$118*BQ109:BQ118*(V$109:V$118&lt;&gt;0)))</f>
        <v>210.09001072969787</v>
      </c>
      <c r="W121" s="230" cm="1">
        <f t="array" aca="1" ref="W121" ca="1">(SUMPRODUCT(W109:W118,$AD$109:$AD$118)+SUMPRODUCT(W109:W118,$AE$109:$AE$118,BR109:BR118))/(SUMPRODUCT($AD$109:$AD$118*(W$109:W$118&lt;&gt;0))+SUMPRODUCT($AE$109:$AE$118*BR109:BR118*(W$109:W$118&lt;&gt;0)))</f>
        <v>239.77361624456677</v>
      </c>
      <c r="X121" s="230" cm="1">
        <f t="array" aca="1" ref="X121" ca="1">(SUMPRODUCT(X109:X118,$AD$109:$AD$118)+SUMPRODUCT(X109:X118,$AE$109:$AE$118,BS109:BS118))/(SUMPRODUCT($AD$109:$AD$118*(X$109:X$118&lt;&gt;0))+SUMPRODUCT($AE$109:$AE$118*BS109:BS118*(X$109:X$118&lt;&gt;0)))</f>
        <v>260.9253027884908</v>
      </c>
      <c r="Y121" s="230" cm="1">
        <f t="array" aca="1" ref="Y121" ca="1">(SUMPRODUCT(Y109:Y118,$AD$109:$AD$118)+SUMPRODUCT(Y109:Y118,$AE$109:$AE$118,BT109:BT118))/(SUMPRODUCT($AD$109:$AD$118*(Y$109:Y$118&lt;&gt;0))+SUMPRODUCT($AE$109:$AE$118*BT109:BT118*(Y$109:Y$118&lt;&gt;0)))</f>
        <v>275.27276745940884</v>
      </c>
      <c r="Z121" s="230" cm="1">
        <f t="array" aca="1" ref="Z121" ca="1">(SUMPRODUCT(Z109:Z118,$AD$109:$AD$118)+SUMPRODUCT(Z109:Z118,$AE$109:$AE$118,BU109:BU118))/(SUMPRODUCT($AD$109:$AD$118*(Z$109:Z$118&lt;&gt;0))+SUMPRODUCT($AE$109:$AE$118*BU109:BU118*(Z$109:Z$118&lt;&gt;0)))</f>
        <v>299.53673535119503</v>
      </c>
      <c r="AA121" s="230" cm="1">
        <f t="array" aca="1" ref="AA121" ca="1">(SUMPRODUCT(AA109:AA118,$AD$109:$AD$118)+SUMPRODUCT(AA109:AA118,$AE$109:$AE$118,BV109:BV118))/(SUMPRODUCT($AD$109:$AD$118*(AA$109:AA$118&lt;&gt;0))+SUMPRODUCT($AE$109:$AE$118*BV109:BV118*(AA$109:AA$118&lt;&gt;0)))</f>
        <v>321.03993574734272</v>
      </c>
      <c r="AB121" s="230" cm="1">
        <f t="array" aca="1" ref="AB121" ca="1">(SUMPRODUCT(AB109:AB118,$AD$109:$AD$118)+SUMPRODUCT(AB109:AB118,$AE$109:$AE$118,BW109:BW118))/(SUMPRODUCT($AD$109:$AD$118*(AB$109:AB$118&lt;&gt;0))+SUMPRODUCT($AE$109:$AE$118*BW109:BW118*(AB$109:AB$118&lt;&gt;0)))</f>
        <v>334.70211047966768</v>
      </c>
      <c r="AC121" s="230" cm="1">
        <f t="array" aca="1" ref="AC121" ca="1">(SUMPRODUCT(AC109:AC118,$AD$109:$AD$118)+SUMPRODUCT(AC109:AC118,$AE$109:$AE$118,BX109:BX118))/(SUMPRODUCT($AD$109:$AD$118*(AC$109:AC$118&lt;&gt;0))+SUMPRODUCT($AE$109:$AE$118*BX109:BX118*(AC$109:AC$118&lt;&gt;0)))</f>
        <v>362.48909066656915</v>
      </c>
      <c r="AD121" s="148"/>
      <c r="AE121" s="148"/>
      <c r="AF121" s="148"/>
      <c r="AG121" s="148"/>
      <c r="AH121" s="148"/>
      <c r="AI121" s="232"/>
      <c r="AJ121" s="148"/>
      <c r="AM121" s="148"/>
      <c r="AO121"/>
      <c r="AP121" s="246">
        <f ca="1">SUMPRODUCT(AO109:AO118,$AD$109:$AD$118)+SUMPRODUCT(AP109:AP118,$AE$109:$AE$118)</f>
        <v>58828085.044420838</v>
      </c>
      <c r="AQ121" s="17" t="s">
        <v>19</v>
      </c>
      <c r="AR121"/>
      <c r="AS121" s="246">
        <f ca="1">SUMPRODUCT(AS109:AS118,$AD$109:$AD$118)+SUMPRODUCT(AT109:AT118,$AE$109:$AE$118)</f>
        <v>62256230.097359709</v>
      </c>
      <c r="AT121" s="17" t="s">
        <v>19</v>
      </c>
    </row>
    <row r="122" spans="1:76" s="17" customFormat="1" outlineLevel="1">
      <c r="A122"/>
      <c r="B122" s="186"/>
      <c r="C122"/>
      <c r="D122" s="1" t="s">
        <v>138</v>
      </c>
      <c r="E122" s="176">
        <f ca="1">E121*(E119+E120)/(SUMPRODUCT($E$121:$AC$121,$E$119:$AC$119)+SUMPRODUCT($E$121:$AC$121,$E$120:$AC$120))</f>
        <v>5.4577139299819867E-2</v>
      </c>
      <c r="F122" s="176">
        <f t="shared" ref="F122:AC122" ca="1" si="39">F121*(F119+F120)/(SUMPRODUCT($E$121:$AC$121,$E$119:$AC$119)+SUMPRODUCT($E$121:$AC$121,$E$120:$AC$120))</f>
        <v>0.23697347152217921</v>
      </c>
      <c r="G122" s="176">
        <f t="shared" ca="1" si="39"/>
        <v>0.1402769870105085</v>
      </c>
      <c r="H122" s="176">
        <f t="shared" ca="1" si="39"/>
        <v>5.4194882150268985E-2</v>
      </c>
      <c r="I122" s="176">
        <f t="shared" ca="1" si="39"/>
        <v>0</v>
      </c>
      <c r="J122" s="176">
        <f t="shared" ca="1" si="39"/>
        <v>1.0495387608863751E-2</v>
      </c>
      <c r="K122" s="176">
        <f t="shared" ca="1" si="39"/>
        <v>0.17582095594273436</v>
      </c>
      <c r="L122" s="176">
        <f t="shared" ca="1" si="39"/>
        <v>0</v>
      </c>
      <c r="M122" s="176">
        <f t="shared" ca="1" si="39"/>
        <v>5.7485748073705073E-2</v>
      </c>
      <c r="N122" s="176">
        <f t="shared" ca="1" si="39"/>
        <v>3.6689179377267442E-2</v>
      </c>
      <c r="O122" s="176">
        <f t="shared" ca="1" si="39"/>
        <v>0</v>
      </c>
      <c r="P122" s="176">
        <f t="shared" ca="1" si="39"/>
        <v>0</v>
      </c>
      <c r="Q122" s="176">
        <f t="shared" ca="1" si="39"/>
        <v>0</v>
      </c>
      <c r="R122" s="176">
        <f t="shared" ca="1" si="39"/>
        <v>3.2098435544923989E-2</v>
      </c>
      <c r="S122" s="176">
        <f ca="1">S121*(S119+S120)/(SUMPRODUCT($E$121:$AC$121,$E$119:$AC$119)+SUMPRODUCT($E$121:$AC$121,$E$120:$AC$120))</f>
        <v>0</v>
      </c>
      <c r="T122" s="176">
        <f t="shared" ca="1" si="39"/>
        <v>0.14417812137358782</v>
      </c>
      <c r="U122" s="176">
        <f t="shared" ca="1" si="39"/>
        <v>1.0734918926005499E-2</v>
      </c>
      <c r="V122" s="176">
        <f t="shared" ca="1" si="39"/>
        <v>2.0565291692465288E-3</v>
      </c>
      <c r="W122" s="176">
        <f t="shared" ca="1" si="39"/>
        <v>3.1172283725955474E-3</v>
      </c>
      <c r="X122" s="176">
        <f t="shared" ca="1" si="39"/>
        <v>2.9910930151374433E-2</v>
      </c>
      <c r="Y122" s="176">
        <f t="shared" ca="1" si="39"/>
        <v>1.7851128511996914E-3</v>
      </c>
      <c r="Z122" s="176">
        <f t="shared" ca="1" si="39"/>
        <v>9.7114304400299314E-4</v>
      </c>
      <c r="AA122" s="176">
        <f t="shared" ca="1" si="39"/>
        <v>4.150772528387929E-4</v>
      </c>
      <c r="AB122" s="176">
        <f t="shared" ca="1" si="39"/>
        <v>2.163254437675509E-3</v>
      </c>
      <c r="AC122" s="176">
        <f t="shared" ca="1" si="39"/>
        <v>6.0554978912018467E-3</v>
      </c>
      <c r="AD122"/>
      <c r="AE122"/>
      <c r="AF122" s="148"/>
      <c r="AG122" s="148"/>
      <c r="AH122" s="148"/>
      <c r="AI122" s="232"/>
      <c r="AJ122" s="148"/>
      <c r="AM122" s="148"/>
      <c r="AO122" s="1" t="s">
        <v>155</v>
      </c>
      <c r="AP122" s="174">
        <f ca="1">AP121-$C$104</f>
        <v>-7822089.8981133848</v>
      </c>
      <c r="AQ122" s="17" t="s">
        <v>19</v>
      </c>
      <c r="AR122"/>
      <c r="AS122" s="174">
        <f ca="1">AS121-$C$104</f>
        <v>-4393944.8451745138</v>
      </c>
      <c r="AT122" s="17" t="s">
        <v>19</v>
      </c>
    </row>
    <row r="123" spans="1:76" s="17" customFormat="1" outlineLevel="1">
      <c r="B123" s="1" t="s">
        <v>31</v>
      </c>
      <c r="C123" s="186"/>
      <c r="D123" s="238" t="s">
        <v>145</v>
      </c>
      <c r="E123" s="236">
        <f ca="1">IFERROR(E122*$C$105/(E119+E120*(1-discount_DZK)),0)</f>
        <v>2.372599932330131</v>
      </c>
      <c r="F123" s="236">
        <f t="shared" ref="F123:AC123" ca="1" si="40">IFERROR(F122*$C$105/(F119+F120*(1-discount_DZK)),0)</f>
        <v>3.4345547757998007</v>
      </c>
      <c r="G123" s="236">
        <f t="shared" ca="1" si="40"/>
        <v>4.5888158833875217</v>
      </c>
      <c r="H123" s="236">
        <f t="shared" ca="1" si="40"/>
        <v>1.8853886387992802</v>
      </c>
      <c r="I123" s="236">
        <f t="shared" ca="1" si="40"/>
        <v>0</v>
      </c>
      <c r="J123" s="236">
        <f t="shared" ca="1" si="40"/>
        <v>3.2856783491320973</v>
      </c>
      <c r="K123" s="236">
        <f t="shared" ca="1" si="40"/>
        <v>5.259847869232714</v>
      </c>
      <c r="L123" s="236">
        <f t="shared" ca="1" si="40"/>
        <v>0</v>
      </c>
      <c r="M123" s="236">
        <f ca="1">IFERROR(M122*$C$105/(M119+M120*(1-discount_DZK)),0)</f>
        <v>1.5833193457486625</v>
      </c>
      <c r="N123" s="236">
        <f t="shared" ca="1" si="40"/>
        <v>1.7583663576132416</v>
      </c>
      <c r="O123" s="236">
        <f ca="1">IFERROR(O122*$C$105/(O119+O120*(1-discount_DZK)),0)</f>
        <v>0</v>
      </c>
      <c r="P123" s="236">
        <f t="shared" ca="1" si="40"/>
        <v>0</v>
      </c>
      <c r="Q123" s="236">
        <f t="shared" ca="1" si="40"/>
        <v>0</v>
      </c>
      <c r="R123" s="236">
        <f t="shared" ca="1" si="40"/>
        <v>2.9979955748962657</v>
      </c>
      <c r="S123" s="236">
        <f t="shared" ca="1" si="40"/>
        <v>0</v>
      </c>
      <c r="T123" s="236">
        <f t="shared" ca="1" si="40"/>
        <v>1.3456923355382286</v>
      </c>
      <c r="U123" s="236">
        <f t="shared" ca="1" si="40"/>
        <v>1.9311262976677228</v>
      </c>
      <c r="V123" s="236">
        <f t="shared" ca="1" si="40"/>
        <v>2.4662725390846187</v>
      </c>
      <c r="W123" s="236">
        <f t="shared" ca="1" si="40"/>
        <v>2.8147320440752268</v>
      </c>
      <c r="X123" s="236">
        <f t="shared" ca="1" si="40"/>
        <v>3.0630343003196803</v>
      </c>
      <c r="Y123" s="236">
        <f t="shared" ca="1" si="40"/>
        <v>3.2314609570677635</v>
      </c>
      <c r="Z123" s="236">
        <f t="shared" ca="1" si="40"/>
        <v>3.5162986677846972</v>
      </c>
      <c r="AA123" s="236">
        <f t="shared" ca="1" si="40"/>
        <v>3.7687273884804404</v>
      </c>
      <c r="AB123" s="236">
        <f t="shared" ca="1" si="40"/>
        <v>3.929109342146293</v>
      </c>
      <c r="AC123" s="236">
        <f t="shared" ca="1" si="40"/>
        <v>4.2553041285667401</v>
      </c>
      <c r="AD123" s="231">
        <f ca="1">SUMPRODUCT(E119:AC119,E123:AC123)</f>
        <v>159635261.33525503</v>
      </c>
      <c r="AE123" s="231"/>
      <c r="AF123" s="148"/>
      <c r="AG123" s="148"/>
      <c r="AH123" s="148"/>
      <c r="AI123" s="232"/>
      <c r="AJ123" s="233">
        <f ca="1">AJ120+AD125</f>
        <v>266600699.77013689</v>
      </c>
      <c r="AK123" s="148" t="s">
        <v>19</v>
      </c>
      <c r="AL123"/>
      <c r="AM123"/>
      <c r="AN123"/>
      <c r="AO123"/>
      <c r="AP123"/>
      <c r="AQ123"/>
    </row>
    <row r="124" spans="1:76" s="17" customFormat="1" outlineLevel="1">
      <c r="B124" s="1" t="s">
        <v>32</v>
      </c>
      <c r="C124" s="186"/>
      <c r="D124" s="239" t="s">
        <v>146</v>
      </c>
      <c r="E124" s="235">
        <v>0</v>
      </c>
      <c r="F124" s="235">
        <v>0</v>
      </c>
      <c r="G124" s="235">
        <f ca="1">(1-discount_DZK)*G123</f>
        <v>4.1299342950487699</v>
      </c>
      <c r="H124" s="235">
        <v>0</v>
      </c>
      <c r="I124" s="235">
        <v>0</v>
      </c>
      <c r="J124" s="235">
        <v>0</v>
      </c>
      <c r="K124" s="235">
        <v>0</v>
      </c>
      <c r="L124" s="235">
        <v>0</v>
      </c>
      <c r="M124" s="235">
        <v>0</v>
      </c>
      <c r="N124" s="235">
        <f ca="1">(1-discount_DZK)*N123</f>
        <v>1.5825297218519174</v>
      </c>
      <c r="O124" s="235">
        <f t="shared" ref="O124:Y124" si="41">IF(O120&gt;0,(1-discount_DZK)*O123,0)</f>
        <v>0</v>
      </c>
      <c r="P124" s="235">
        <f t="shared" si="41"/>
        <v>0</v>
      </c>
      <c r="Q124" s="235">
        <f t="shared" si="41"/>
        <v>0</v>
      </c>
      <c r="R124" s="235">
        <f ca="1">(1-discount_DZK)*R123</f>
        <v>2.6981960174066391</v>
      </c>
      <c r="S124" s="235">
        <f t="shared" si="41"/>
        <v>0</v>
      </c>
      <c r="T124" s="235">
        <f t="shared" si="41"/>
        <v>0</v>
      </c>
      <c r="U124" s="235">
        <f t="shared" si="41"/>
        <v>0</v>
      </c>
      <c r="V124" s="235">
        <f t="shared" si="41"/>
        <v>0</v>
      </c>
      <c r="W124" s="235">
        <f t="shared" si="41"/>
        <v>0</v>
      </c>
      <c r="X124" s="235">
        <f t="shared" si="41"/>
        <v>0</v>
      </c>
      <c r="Y124" s="235">
        <f t="shared" si="41"/>
        <v>0</v>
      </c>
      <c r="Z124" s="235">
        <v>0</v>
      </c>
      <c r="AA124" s="235">
        <v>0</v>
      </c>
      <c r="AB124" s="235">
        <v>0</v>
      </c>
      <c r="AC124" s="235">
        <v>0</v>
      </c>
      <c r="AD124" s="231">
        <f ca="1">SUMPRODUCT(E120:AC120,E124:AC124)</f>
        <v>40315263.49234762</v>
      </c>
      <c r="AE124" s="148"/>
      <c r="AF124" s="58"/>
      <c r="AG124" s="148"/>
      <c r="AH124" s="148"/>
      <c r="AI124" s="232"/>
      <c r="AJ124" s="234">
        <f ca="1">AJ123-C102</f>
        <v>0</v>
      </c>
      <c r="AK124" s="148" t="s">
        <v>19</v>
      </c>
      <c r="AL124"/>
      <c r="AM124"/>
      <c r="AN124"/>
      <c r="AO124"/>
      <c r="AP124"/>
      <c r="AQ124"/>
    </row>
    <row r="125" spans="1:76" s="17" customFormat="1" outlineLevel="1">
      <c r="B125" s="186"/>
      <c r="C125" s="186"/>
      <c r="D125" s="1" t="s">
        <v>143</v>
      </c>
      <c r="E125" s="297">
        <f ca="1">(E119*E123+M119*M123)/(E119+M119)</f>
        <v>1.8894369210149502</v>
      </c>
      <c r="F125" s="298">
        <f ca="1">(SUMPRODUCT(F119:G119,F123:G123)+SUMPRODUCT(F120:G120,F124:G124)+L119*L123)/(SUM(F119:G119)+SUM(F120:G120)*(1-discount_DZK)+L119)</f>
        <v>3.7889419844539631</v>
      </c>
      <c r="G125" s="302">
        <f ca="1">F125</f>
        <v>3.7889419844539631</v>
      </c>
      <c r="H125" s="299"/>
      <c r="I125" s="299"/>
      <c r="J125" s="299"/>
      <c r="K125" s="299"/>
      <c r="L125" s="303">
        <f ca="1">G125</f>
        <v>3.7889419844539631</v>
      </c>
      <c r="M125" s="304">
        <f ca="1">(E119*E123+M119*M123)/(E119+M119)</f>
        <v>1.8894369210149502</v>
      </c>
      <c r="N125" s="298">
        <f ca="1">IF(Tariff_SimCalculation!W4=1,(SUMPRODUCT(N119:AC119,N123:AC123)+SUMPRODUCT(N120:AC120,N124:AC124))/(SUM(N119:AC119)+SUM(N120:AC120)*(1-discount_DZK)),(SUMPRODUCT(N119:Y119,N123:Y123)+SUMPRODUCT(N120:Y120,N124:Y124))/(SUM(N119:Y119)+SUM(N120:Y120)*(1-discount_DZK)))</f>
        <v>1.664663888391243</v>
      </c>
      <c r="O125" s="308">
        <f ca="1">$N125</f>
        <v>1.664663888391243</v>
      </c>
      <c r="P125" s="308">
        <f t="shared" ref="P125:Y125" ca="1" si="42">$N125</f>
        <v>1.664663888391243</v>
      </c>
      <c r="Q125" s="308">
        <f t="shared" ca="1" si="42"/>
        <v>1.664663888391243</v>
      </c>
      <c r="R125" s="308">
        <f t="shared" ca="1" si="42"/>
        <v>1.664663888391243</v>
      </c>
      <c r="S125" s="308">
        <f t="shared" ca="1" si="42"/>
        <v>1.664663888391243</v>
      </c>
      <c r="T125" s="308">
        <f t="shared" ca="1" si="42"/>
        <v>1.664663888391243</v>
      </c>
      <c r="U125" s="308">
        <f t="shared" ca="1" si="42"/>
        <v>1.664663888391243</v>
      </c>
      <c r="V125" s="308">
        <f t="shared" ca="1" si="42"/>
        <v>1.664663888391243</v>
      </c>
      <c r="W125" s="308">
        <f t="shared" ca="1" si="42"/>
        <v>1.664663888391243</v>
      </c>
      <c r="X125" s="308">
        <f t="shared" ca="1" si="42"/>
        <v>1.664663888391243</v>
      </c>
      <c r="Y125" s="309">
        <f t="shared" ca="1" si="42"/>
        <v>1.664663888391243</v>
      </c>
      <c r="Z125" s="296">
        <f ca="1">IF(Tariff_SimCalculation!W4=1,(SUMPRODUCT(N119:AC119,N123:AC123)+SUMPRODUCT(N120:AC120,N124:AC124))/(SUM(N119:AC119)+SUM(N120:AC120)*(1-discount_DZK)),SUMPRODUCT(Z119:AC119,Z123:AC123)/SUM(Z119:AC119))</f>
        <v>4.0700092132538366</v>
      </c>
      <c r="AA125" s="305">
        <f ca="1">$Z125</f>
        <v>4.0700092132538366</v>
      </c>
      <c r="AB125" s="305">
        <f ca="1">$Z125</f>
        <v>4.0700092132538366</v>
      </c>
      <c r="AC125" s="306">
        <f ca="1">$Z125</f>
        <v>4.0700092132538366</v>
      </c>
      <c r="AD125" s="231">
        <f ca="1">AD124+AD123</f>
        <v>199950524.82760265</v>
      </c>
      <c r="AE125" s="148" t="s">
        <v>19</v>
      </c>
      <c r="AF125" s="58"/>
      <c r="AG125" s="148"/>
      <c r="AH125" s="148"/>
      <c r="AI125" s="232"/>
      <c r="AJ125" s="148"/>
      <c r="AK125" s="148"/>
      <c r="AL125"/>
      <c r="AM125"/>
      <c r="AN125"/>
      <c r="AO125"/>
      <c r="AP125"/>
      <c r="AQ125"/>
    </row>
    <row r="126" spans="1:76" s="17" customFormat="1" outlineLevel="1">
      <c r="A126"/>
      <c r="B126" s="5"/>
      <c r="C126"/>
      <c r="D126" s="1" t="s">
        <v>144</v>
      </c>
      <c r="E126" s="235">
        <f>IF(E120&gt;0,E125*(1-discount_DZK),0)</f>
        <v>0</v>
      </c>
      <c r="F126" s="235"/>
      <c r="G126" s="300">
        <f ca="1">G125*(1-discount_DZK)</f>
        <v>3.4100477860085667</v>
      </c>
      <c r="H126" s="299"/>
      <c r="I126" s="299"/>
      <c r="J126" s="299"/>
      <c r="K126" s="299"/>
      <c r="L126" s="235">
        <f>IF(L120&gt;0,L125*(1-discount_DZK),0)</f>
        <v>0</v>
      </c>
      <c r="M126" s="235">
        <f>IF(M120&gt;0,M125*(1-discount_DZK),0)</f>
        <v>0</v>
      </c>
      <c r="N126" s="307">
        <f t="shared" ref="N126:Y126" ca="1" si="43">N125*(1-discount_DZK)</f>
        <v>1.4981974995521188</v>
      </c>
      <c r="O126" s="307">
        <f t="shared" ca="1" si="43"/>
        <v>1.4981974995521188</v>
      </c>
      <c r="P126" s="307">
        <f t="shared" ca="1" si="43"/>
        <v>1.4981974995521188</v>
      </c>
      <c r="Q126" s="307">
        <f t="shared" ca="1" si="43"/>
        <v>1.4981974995521188</v>
      </c>
      <c r="R126" s="307">
        <f t="shared" ca="1" si="43"/>
        <v>1.4981974995521188</v>
      </c>
      <c r="S126" s="307">
        <f t="shared" ca="1" si="43"/>
        <v>1.4981974995521188</v>
      </c>
      <c r="T126" s="307">
        <f t="shared" ca="1" si="43"/>
        <v>1.4981974995521188</v>
      </c>
      <c r="U126" s="307">
        <f t="shared" ca="1" si="43"/>
        <v>1.4981974995521188</v>
      </c>
      <c r="V126" s="307">
        <f t="shared" ca="1" si="43"/>
        <v>1.4981974995521188</v>
      </c>
      <c r="W126" s="307">
        <f t="shared" ca="1" si="43"/>
        <v>1.4981974995521188</v>
      </c>
      <c r="X126" s="307">
        <f t="shared" ca="1" si="43"/>
        <v>1.4981974995521188</v>
      </c>
      <c r="Y126" s="307">
        <f t="shared" ca="1" si="43"/>
        <v>1.4981974995521188</v>
      </c>
      <c r="Z126" s="235">
        <f>IF(Z120&gt;0,Z125*(1-discount_DZK),0)</f>
        <v>0</v>
      </c>
      <c r="AA126" s="235">
        <f>IF(AA120&gt;0,AA125*(1-discount_DZK),0)</f>
        <v>0</v>
      </c>
      <c r="AB126" s="235">
        <f>IF(AB120&gt;0,AB125*(1-discount_DZK),0)</f>
        <v>0</v>
      </c>
      <c r="AC126" s="235">
        <f>IF(AC120&gt;0,AC125*(1-discount_DZK),0)</f>
        <v>0</v>
      </c>
      <c r="AD126"/>
      <c r="AE126"/>
      <c r="AF126" s="148"/>
      <c r="AG126" s="148"/>
      <c r="AH126" s="148"/>
      <c r="AI126"/>
      <c r="AJ126"/>
      <c r="AK126"/>
      <c r="AL126"/>
      <c r="AM126"/>
      <c r="AN126"/>
      <c r="AO126"/>
      <c r="AP126"/>
      <c r="AQ126"/>
    </row>
    <row r="127" spans="1:76" s="17" customFormat="1" outlineLevel="1">
      <c r="A127"/>
      <c r="B127" s="5"/>
      <c r="C127"/>
      <c r="D127" s="1" t="s">
        <v>154</v>
      </c>
      <c r="E127"/>
      <c r="F127"/>
      <c r="G127"/>
      <c r="H127"/>
      <c r="I127"/>
      <c r="J127"/>
      <c r="K127" s="299"/>
      <c r="L127" s="243">
        <f ca="1">L125*(1-discount_storage_exit)</f>
        <v>1.8944709922269816</v>
      </c>
      <c r="M127" s="243">
        <f ca="1">M125*(1-discount_storage_exit)</f>
        <v>0.9447184605074751</v>
      </c>
      <c r="N127"/>
      <c r="O127"/>
      <c r="P127"/>
      <c r="Q127"/>
      <c r="R127"/>
      <c r="S127"/>
      <c r="T127"/>
      <c r="U127"/>
      <c r="V127"/>
      <c r="W127"/>
      <c r="X127"/>
      <c r="Y127"/>
      <c r="Z127"/>
      <c r="AA127"/>
      <c r="AB127"/>
      <c r="AC127"/>
      <c r="AD127"/>
      <c r="AE127"/>
      <c r="AF127"/>
      <c r="AG127"/>
      <c r="AH127"/>
      <c r="AI127"/>
      <c r="AJ127" s="171" t="s">
        <v>163</v>
      </c>
      <c r="AK127" s="252">
        <f ca="1">C102</f>
        <v>266600699.77013689</v>
      </c>
      <c r="AL127" s="17" t="s">
        <v>19</v>
      </c>
      <c r="AM127"/>
      <c r="AN127"/>
      <c r="AO127"/>
      <c r="AP127"/>
      <c r="AQ127"/>
    </row>
    <row r="128" spans="1:76" s="17" customFormat="1" outlineLevel="1">
      <c r="A128"/>
      <c r="B128" s="40"/>
      <c r="C128"/>
      <c r="D128" s="239" t="s">
        <v>147</v>
      </c>
      <c r="E128" s="235">
        <f ca="1">IF(E$125&gt;0,IF(E127&gt;0,E127,E125),E123)</f>
        <v>1.8894369210149502</v>
      </c>
      <c r="F128" s="235">
        <f t="shared" ref="F128:K128" ca="1" si="44">IF(F$125&gt;0,IF(F127&gt;0,F127,F125),F123)</f>
        <v>3.7889419844539631</v>
      </c>
      <c r="G128" s="235">
        <f t="shared" ca="1" si="44"/>
        <v>3.7889419844539631</v>
      </c>
      <c r="H128" s="235">
        <f t="shared" ca="1" si="44"/>
        <v>1.8853886387992802</v>
      </c>
      <c r="I128" s="235">
        <f t="shared" ca="1" si="44"/>
        <v>0</v>
      </c>
      <c r="J128" s="235">
        <f t="shared" ca="1" si="44"/>
        <v>3.2856783491320973</v>
      </c>
      <c r="K128" s="235">
        <f t="shared" ca="1" si="44"/>
        <v>5.259847869232714</v>
      </c>
      <c r="L128" s="235">
        <f ca="1">IF(L$125&gt;0,IF(OR(L127&gt;0,discount_storage_exit=1),L127,L125),L123)</f>
        <v>1.8944709922269816</v>
      </c>
      <c r="M128" s="235">
        <f ca="1">IF(M$125&gt;0,IF(OR(M127&gt;0,discount_storage_exit=1),M127,M125),M123)</f>
        <v>0.9447184605074751</v>
      </c>
      <c r="N128" s="235">
        <f ca="1">IF(N$125&gt;0,IF(N127&gt;0,N127,N125),N123)</f>
        <v>1.664663888391243</v>
      </c>
      <c r="O128" s="235">
        <f ca="1">IF(O$125&gt;0,IF(O127&gt;0,O127,O125),O123)</f>
        <v>1.664663888391243</v>
      </c>
      <c r="P128" s="235">
        <f ca="1">IF(P$125&gt;0,IF(P127&gt;0,P127,P125),P123)</f>
        <v>1.664663888391243</v>
      </c>
      <c r="Q128" s="235">
        <f t="shared" ref="Q128:Y128" ca="1" si="45">IF($N$125&gt;0,$N$125,Q123)</f>
        <v>1.664663888391243</v>
      </c>
      <c r="R128" s="235">
        <f t="shared" ca="1" si="45"/>
        <v>1.664663888391243</v>
      </c>
      <c r="S128" s="235">
        <f t="shared" ca="1" si="45"/>
        <v>1.664663888391243</v>
      </c>
      <c r="T128" s="235">
        <f t="shared" ca="1" si="45"/>
        <v>1.664663888391243</v>
      </c>
      <c r="U128" s="235">
        <f t="shared" ca="1" si="45"/>
        <v>1.664663888391243</v>
      </c>
      <c r="V128" s="235">
        <f t="shared" ca="1" si="45"/>
        <v>1.664663888391243</v>
      </c>
      <c r="W128" s="235">
        <f t="shared" ca="1" si="45"/>
        <v>1.664663888391243</v>
      </c>
      <c r="X128" s="235">
        <f t="shared" ca="1" si="45"/>
        <v>1.664663888391243</v>
      </c>
      <c r="Y128" s="235">
        <f t="shared" ca="1" si="45"/>
        <v>1.664663888391243</v>
      </c>
      <c r="Z128" s="235">
        <f ca="1">IF($Z$125&gt;0,$Z$125,Z123)</f>
        <v>4.0700092132538366</v>
      </c>
      <c r="AA128" s="235">
        <f ca="1">IF($Z$125&gt;0,$Z$125,AA123)</f>
        <v>4.0700092132538366</v>
      </c>
      <c r="AB128" s="235">
        <f ca="1">IF($Z$125&gt;0,$Z$125,AB123)</f>
        <v>4.0700092132538366</v>
      </c>
      <c r="AC128" s="235">
        <f ca="1">IF($Z$125&gt;0,$Z$125,AC123)</f>
        <v>4.0700092132538366</v>
      </c>
      <c r="AD128"/>
      <c r="AE128" s="249" t="s">
        <v>153</v>
      </c>
      <c r="AF128" s="168"/>
      <c r="AG128" t="s">
        <v>205</v>
      </c>
      <c r="AH128"/>
      <c r="AI128"/>
      <c r="AJ128" s="171" t="s">
        <v>166</v>
      </c>
      <c r="AK128" s="250">
        <f ca="1">AE129+AP121</f>
        <v>251920307.6455614</v>
      </c>
      <c r="AL128" s="17" t="s">
        <v>19</v>
      </c>
      <c r="AM128"/>
      <c r="AN128"/>
      <c r="AO128"/>
      <c r="AP128"/>
      <c r="AQ128"/>
    </row>
    <row r="129" spans="1:48" s="17" customFormat="1" outlineLevel="1">
      <c r="A129" s="168"/>
      <c r="B129" s="40"/>
      <c r="C129" s="168"/>
      <c r="D129" s="239" t="s">
        <v>148</v>
      </c>
      <c r="E129" s="311">
        <f t="shared" ref="E129:M129" si="46">IF(E120&gt;0,(1-discount_DZK)*E128,0)</f>
        <v>0</v>
      </c>
      <c r="F129" s="311"/>
      <c r="G129" s="311">
        <f ca="1">(1-discount_DZK)*G128</f>
        <v>3.4100477860085667</v>
      </c>
      <c r="H129" s="311">
        <f t="shared" si="46"/>
        <v>0</v>
      </c>
      <c r="I129" s="311">
        <f t="shared" si="46"/>
        <v>0</v>
      </c>
      <c r="J129" s="311">
        <f t="shared" si="46"/>
        <v>0</v>
      </c>
      <c r="K129" s="311">
        <f t="shared" si="46"/>
        <v>0</v>
      </c>
      <c r="L129" s="311">
        <f t="shared" si="46"/>
        <v>0</v>
      </c>
      <c r="M129" s="312">
        <f t="shared" si="46"/>
        <v>0</v>
      </c>
      <c r="N129" s="311">
        <f ca="1">IF($N$125&gt;0,$N$126,N124)</f>
        <v>1.4981974995521188</v>
      </c>
      <c r="O129" s="311">
        <f t="shared" ref="O129:Y129" ca="1" si="47">IF($N$125&gt;0,$N$126,O124)</f>
        <v>1.4981974995521188</v>
      </c>
      <c r="P129" s="311">
        <f t="shared" ca="1" si="47"/>
        <v>1.4981974995521188</v>
      </c>
      <c r="Q129" s="311">
        <f t="shared" ca="1" si="47"/>
        <v>1.4981974995521188</v>
      </c>
      <c r="R129" s="311">
        <f t="shared" ca="1" si="47"/>
        <v>1.4981974995521188</v>
      </c>
      <c r="S129" s="311">
        <f t="shared" ca="1" si="47"/>
        <v>1.4981974995521188</v>
      </c>
      <c r="T129" s="311">
        <f t="shared" ca="1" si="47"/>
        <v>1.4981974995521188</v>
      </c>
      <c r="U129" s="311">
        <f t="shared" ca="1" si="47"/>
        <v>1.4981974995521188</v>
      </c>
      <c r="V129" s="311">
        <f t="shared" ca="1" si="47"/>
        <v>1.4981974995521188</v>
      </c>
      <c r="W129" s="311">
        <f t="shared" ca="1" si="47"/>
        <v>1.4981974995521188</v>
      </c>
      <c r="X129" s="311">
        <f t="shared" ca="1" si="47"/>
        <v>1.4981974995521188</v>
      </c>
      <c r="Y129" s="311">
        <f t="shared" ca="1" si="47"/>
        <v>1.4981974995521188</v>
      </c>
      <c r="Z129" s="311">
        <f ca="1">IF($N$125&gt;0,$Z$126,Z124)</f>
        <v>0</v>
      </c>
      <c r="AA129" s="311">
        <f ca="1">IF($N$125&gt;0,$Z$126,AA124)</f>
        <v>0</v>
      </c>
      <c r="AB129" s="311">
        <f ca="1">IF($N$125&gt;0,$Z$126,AB124)</f>
        <v>0</v>
      </c>
      <c r="AC129" s="311">
        <f ca="1">IF($N$125&gt;0,$Z$126,AC124)</f>
        <v>0</v>
      </c>
      <c r="AD129" s="168"/>
      <c r="AE129" s="246">
        <f ca="1">SUMPRODUCT(E128:AC128,$E$119:$AC$119)+SUMPRODUCT($E$120:$AC$120,E129:AC129)</f>
        <v>193092222.60114056</v>
      </c>
      <c r="AF129" s="17" t="s">
        <v>19</v>
      </c>
      <c r="AG129" s="5">
        <f ca="1">$C$105</f>
        <v>199950524.82760268</v>
      </c>
      <c r="AH129"/>
      <c r="AI129"/>
      <c r="AJ129" s="1" t="s">
        <v>156</v>
      </c>
      <c r="AK129" s="5">
        <f ca="1">AK128-AK127</f>
        <v>-14680392.124575496</v>
      </c>
      <c r="AL129" s="17" t="s">
        <v>19</v>
      </c>
      <c r="AM129"/>
      <c r="AN129"/>
      <c r="AO129"/>
      <c r="AP129"/>
      <c r="AQ129"/>
    </row>
    <row r="130" spans="1:48" s="17" customFormat="1" outlineLevel="1">
      <c r="A130" s="168"/>
      <c r="B130" s="301"/>
      <c r="C130" s="168"/>
      <c r="D130" s="168"/>
      <c r="E130" s="168"/>
      <c r="F130" s="168"/>
      <c r="G130" s="168"/>
      <c r="H130" s="168"/>
      <c r="I130" s="168"/>
      <c r="J130" s="168"/>
      <c r="K130" s="168"/>
      <c r="L130" s="168"/>
      <c r="M130" s="168"/>
      <c r="N130" s="168"/>
      <c r="O130" s="168"/>
      <c r="P130" s="168"/>
      <c r="Q130" s="168"/>
      <c r="R130" s="168"/>
      <c r="S130" s="168"/>
      <c r="T130" s="168"/>
      <c r="U130" s="168"/>
      <c r="V130" s="168"/>
      <c r="W130" s="168"/>
      <c r="X130" s="168"/>
      <c r="Y130" s="168"/>
      <c r="Z130" s="168"/>
      <c r="AA130" s="168"/>
      <c r="AB130" s="168"/>
      <c r="AC130" s="168"/>
      <c r="AD130" s="1" t="s">
        <v>149</v>
      </c>
      <c r="AE130" s="174">
        <f ca="1">-$C$105+AE129</f>
        <v>-6858302.2264621258</v>
      </c>
      <c r="AF130" s="17" t="s">
        <v>19</v>
      </c>
      <c r="AG130"/>
      <c r="AM130"/>
      <c r="AN130"/>
      <c r="AO130"/>
      <c r="AP130"/>
      <c r="AQ130"/>
    </row>
    <row r="131" spans="1:48" s="17" customFormat="1" outlineLevel="1">
      <c r="A131" s="168"/>
      <c r="B131" s="301"/>
      <c r="C131" s="168"/>
      <c r="D131" s="1" t="s">
        <v>157</v>
      </c>
      <c r="E131" s="3">
        <v>1</v>
      </c>
      <c r="F131" s="3">
        <v>1</v>
      </c>
      <c r="G131" s="3">
        <v>1</v>
      </c>
      <c r="H131" s="3">
        <v>1</v>
      </c>
      <c r="I131" s="3">
        <v>1</v>
      </c>
      <c r="J131" s="3">
        <v>1</v>
      </c>
      <c r="K131" s="3">
        <v>1</v>
      </c>
      <c r="L131" s="3">
        <v>1</v>
      </c>
      <c r="M131" s="3">
        <v>1</v>
      </c>
      <c r="N131" s="3">
        <v>1</v>
      </c>
      <c r="O131" s="3">
        <v>1</v>
      </c>
      <c r="P131" s="3">
        <v>1</v>
      </c>
      <c r="Q131" s="3">
        <v>1</v>
      </c>
      <c r="R131" s="3">
        <v>1</v>
      </c>
      <c r="S131" s="3">
        <v>1</v>
      </c>
      <c r="T131" s="3">
        <v>1</v>
      </c>
      <c r="U131" s="3">
        <v>1</v>
      </c>
      <c r="V131" s="3">
        <v>1</v>
      </c>
      <c r="W131" s="3">
        <v>1</v>
      </c>
      <c r="X131" s="3">
        <v>1</v>
      </c>
      <c r="Y131" s="3">
        <v>1</v>
      </c>
      <c r="Z131" s="3">
        <v>1</v>
      </c>
      <c r="AA131" s="3">
        <v>1</v>
      </c>
      <c r="AB131" s="3">
        <v>1</v>
      </c>
      <c r="AC131" s="3">
        <v>1</v>
      </c>
      <c r="AD131"/>
      <c r="AE131" s="249" t="s">
        <v>160</v>
      </c>
      <c r="AF131" s="168"/>
      <c r="AG131"/>
      <c r="AM131" s="7" t="s">
        <v>85</v>
      </c>
      <c r="AN131"/>
      <c r="AO131" s="155"/>
      <c r="AP131" s="155"/>
      <c r="AQ131" s="255" t="s">
        <v>164</v>
      </c>
      <c r="AR131" s="277">
        <f ca="1">SUMPRODUCT(E119:$AC$119,$E$128:$AC$128,$E$131:$AC$131)+SUMPRODUCT(E120:$AC$120,$E$129:$AC$129,$E$131:$AC$131) + SUMPRODUCT($AD$109:$AD$118,$AO$109:$AO$118,$AR$109:$AR$118)+ SUMPRODUCT($AE$109:$AE$118,$AP$109:$AP$118,$AR$109:$AR$118)</f>
        <v>251920307.6455614</v>
      </c>
      <c r="AS131" s="155" t="s">
        <v>19</v>
      </c>
    </row>
    <row r="132" spans="1:48" s="17" customFormat="1" outlineLevel="1">
      <c r="A132" s="168"/>
      <c r="B132" s="301"/>
      <c r="C132" s="168"/>
      <c r="D132" s="239" t="s">
        <v>158</v>
      </c>
      <c r="E132" s="468">
        <f ca="1">IF(E$131=1,$AK$137,1)*E128</f>
        <v>1.9995418790248281</v>
      </c>
      <c r="F132" s="468">
        <f t="shared" ref="F132:AB133" ca="1" si="48">IF(F$131=1,$AK$137,1)*F128</f>
        <v>4.0097386109304214</v>
      </c>
      <c r="G132" s="468">
        <f ca="1">IF(G$131=1,$AK$137,1)*G128</f>
        <v>4.0097386109304214</v>
      </c>
      <c r="H132" s="468">
        <f t="shared" ca="1" si="48"/>
        <v>1.9952576874022807</v>
      </c>
      <c r="I132" s="468">
        <f t="shared" ca="1" si="48"/>
        <v>0</v>
      </c>
      <c r="J132" s="468">
        <f t="shared" ca="1" si="48"/>
        <v>3.4771478142629162</v>
      </c>
      <c r="K132" s="468">
        <f t="shared" ca="1" si="48"/>
        <v>5.5663599958556649</v>
      </c>
      <c r="L132" s="468">
        <f ca="1">IF(L$131=1,$AK$137,1)*L128</f>
        <v>2.0048693054652107</v>
      </c>
      <c r="M132" s="468">
        <f t="shared" ca="1" si="48"/>
        <v>0.99977093951241403</v>
      </c>
      <c r="N132" s="468">
        <f ca="1">IF(N$131=1,$AK$137,1)*N128</f>
        <v>1.7616704333006232</v>
      </c>
      <c r="O132" s="468">
        <f t="shared" ca="1" si="48"/>
        <v>1.7616704333006232</v>
      </c>
      <c r="P132" s="468">
        <f t="shared" ca="1" si="48"/>
        <v>1.7616704333006232</v>
      </c>
      <c r="Q132" s="468">
        <f t="shared" ca="1" si="48"/>
        <v>1.7616704333006232</v>
      </c>
      <c r="R132" s="468">
        <f t="shared" ca="1" si="48"/>
        <v>1.7616704333006232</v>
      </c>
      <c r="S132" s="468">
        <f t="shared" ca="1" si="48"/>
        <v>1.7616704333006232</v>
      </c>
      <c r="T132" s="468">
        <f t="shared" ca="1" si="48"/>
        <v>1.7616704333006232</v>
      </c>
      <c r="U132" s="468">
        <f t="shared" ca="1" si="48"/>
        <v>1.7616704333006232</v>
      </c>
      <c r="V132" s="468">
        <f t="shared" ca="1" si="48"/>
        <v>1.7616704333006232</v>
      </c>
      <c r="W132" s="468">
        <f t="shared" ca="1" si="48"/>
        <v>1.7616704333006232</v>
      </c>
      <c r="X132" s="468">
        <f t="shared" ca="1" si="48"/>
        <v>1.7616704333006232</v>
      </c>
      <c r="Y132" s="468">
        <f t="shared" ca="1" si="48"/>
        <v>1.7616704333006232</v>
      </c>
      <c r="Z132" s="468">
        <f t="shared" ca="1" si="48"/>
        <v>4.3071847381633468</v>
      </c>
      <c r="AA132" s="468">
        <f t="shared" ca="1" si="48"/>
        <v>4.3071847381633468</v>
      </c>
      <c r="AB132" s="468">
        <f t="shared" ca="1" si="48"/>
        <v>4.3071847381633468</v>
      </c>
      <c r="AC132" s="468">
        <f ca="1">IF(AC$131=1,$AK$137,1)*AC128</f>
        <v>4.3071847381633468</v>
      </c>
      <c r="AD132" s="168"/>
      <c r="AE132" s="246">
        <f ca="1">SUMPRODUCT(E132:AC132,$E$119:$AC$119)+SUMPRODUCT($E$120:$AC$120,E133:AC133)</f>
        <v>204344469.67277721</v>
      </c>
      <c r="AF132" s="17" t="s">
        <v>19</v>
      </c>
      <c r="AG132"/>
      <c r="AH132"/>
      <c r="AI132"/>
      <c r="AJ132" s="253" t="s">
        <v>142</v>
      </c>
      <c r="AK132" s="251">
        <f ca="1">AR133</f>
        <v>1.0582739528296783</v>
      </c>
      <c r="AL132" s="168"/>
      <c r="AM132" s="254">
        <f ca="1">AS121/AK127</f>
        <v>0.23351862973742016</v>
      </c>
      <c r="AN132"/>
      <c r="AO132" s="155"/>
      <c r="AP132" s="155"/>
      <c r="AQ132" s="255" t="s">
        <v>165</v>
      </c>
      <c r="AR132" s="277">
        <f ca="1">AK128-AR131</f>
        <v>0</v>
      </c>
      <c r="AS132" s="155" t="s">
        <v>19</v>
      </c>
    </row>
    <row r="133" spans="1:48" s="17" customFormat="1" outlineLevel="1">
      <c r="A133"/>
      <c r="B133" s="301"/>
      <c r="C133"/>
      <c r="D133" s="239" t="s">
        <v>159</v>
      </c>
      <c r="E133" s="235">
        <f ca="1">IF(E$131=1,$AK$137,1)*E129</f>
        <v>0</v>
      </c>
      <c r="F133" s="235">
        <f ca="1">IF(F$131=1,$AK$137,1)*F129</f>
        <v>0</v>
      </c>
      <c r="G133" s="468">
        <f ca="1">IF(G$131=1,$AK$137,1)*G129</f>
        <v>3.6087647498373787</v>
      </c>
      <c r="H133" s="235">
        <f t="shared" ca="1" si="48"/>
        <v>0</v>
      </c>
      <c r="I133" s="235">
        <f t="shared" ca="1" si="48"/>
        <v>0</v>
      </c>
      <c r="J133" s="235">
        <f t="shared" ca="1" si="48"/>
        <v>0</v>
      </c>
      <c r="K133" s="235">
        <f t="shared" ca="1" si="48"/>
        <v>0</v>
      </c>
      <c r="L133" s="235">
        <f t="shared" ca="1" si="48"/>
        <v>0</v>
      </c>
      <c r="M133" s="235">
        <f t="shared" ca="1" si="48"/>
        <v>0</v>
      </c>
      <c r="N133" s="468">
        <f t="shared" ca="1" si="48"/>
        <v>1.5855033899705608</v>
      </c>
      <c r="O133" s="468">
        <f ca="1">IF(O$131=1,$AK$137,1)*O129</f>
        <v>1.5855033899705608</v>
      </c>
      <c r="P133" s="468">
        <f t="shared" ca="1" si="48"/>
        <v>1.5855033899705608</v>
      </c>
      <c r="Q133" s="468">
        <f t="shared" ca="1" si="48"/>
        <v>1.5855033899705608</v>
      </c>
      <c r="R133" s="468">
        <f t="shared" ca="1" si="48"/>
        <v>1.5855033899705608</v>
      </c>
      <c r="S133" s="468">
        <f t="shared" ca="1" si="48"/>
        <v>1.5855033899705608</v>
      </c>
      <c r="T133" s="468">
        <f t="shared" ca="1" si="48"/>
        <v>1.5855033899705608</v>
      </c>
      <c r="U133" s="468">
        <f t="shared" ca="1" si="48"/>
        <v>1.5855033899705608</v>
      </c>
      <c r="V133" s="468">
        <f t="shared" ca="1" si="48"/>
        <v>1.5855033899705608</v>
      </c>
      <c r="W133" s="468">
        <f t="shared" ca="1" si="48"/>
        <v>1.5855033899705608</v>
      </c>
      <c r="X133" s="468">
        <f t="shared" ca="1" si="48"/>
        <v>1.5855033899705608</v>
      </c>
      <c r="Y133" s="468">
        <f t="shared" ca="1" si="48"/>
        <v>1.5855033899705608</v>
      </c>
      <c r="Z133" s="235">
        <f t="shared" ca="1" si="48"/>
        <v>0</v>
      </c>
      <c r="AA133" s="235">
        <f t="shared" ca="1" si="48"/>
        <v>0</v>
      </c>
      <c r="AB133" s="235">
        <f t="shared" ca="1" si="48"/>
        <v>0</v>
      </c>
      <c r="AC133" s="235">
        <f ca="1">IF(AC$131=1,$AK$137,1)*AC129</f>
        <v>0</v>
      </c>
      <c r="AD133" s="1" t="s">
        <v>149</v>
      </c>
      <c r="AE133" s="174">
        <f ca="1">-$C$105+AE132</f>
        <v>4393944.8451745212</v>
      </c>
      <c r="AF133" s="17" t="s">
        <v>19</v>
      </c>
      <c r="AG133"/>
      <c r="AH133"/>
      <c r="AI133"/>
      <c r="AJ133" s="58" t="s">
        <v>162</v>
      </c>
      <c r="AK133" s="233">
        <f ca="1">AS122+AE133</f>
        <v>7.4505805969238281E-9</v>
      </c>
      <c r="AL133" s="148" t="s">
        <v>19</v>
      </c>
      <c r="AM133"/>
      <c r="AN133"/>
      <c r="AO133"/>
      <c r="AP133"/>
      <c r="AQ133"/>
      <c r="AR133" s="310">
        <f ca="1">(AK127-AR132)/AR131</f>
        <v>1.0582739528296783</v>
      </c>
      <c r="AS133" s="276"/>
    </row>
    <row r="134" spans="1:48" s="17" customFormat="1" outlineLevel="1">
      <c r="B134" s="271"/>
      <c r="D134" s="6"/>
      <c r="E134" s="57"/>
      <c r="F134" s="57"/>
      <c r="G134" s="57"/>
      <c r="H134" s="57"/>
      <c r="I134" s="57"/>
      <c r="J134" s="57"/>
      <c r="K134" s="57"/>
      <c r="L134" s="57"/>
      <c r="M134" s="57"/>
      <c r="N134" s="57"/>
      <c r="O134" s="57"/>
      <c r="P134" s="57"/>
      <c r="Q134" s="57"/>
      <c r="R134" s="57"/>
      <c r="S134" s="57"/>
      <c r="T134" s="57"/>
      <c r="U134" s="57"/>
      <c r="V134" s="57"/>
      <c r="W134" s="57"/>
      <c r="X134" s="57"/>
      <c r="Y134" s="57"/>
      <c r="Z134" s="57"/>
      <c r="AA134" s="57"/>
      <c r="AB134" s="57"/>
      <c r="AC134" s="57"/>
      <c r="AD134" s="274"/>
      <c r="AE134" s="275"/>
      <c r="AF134" s="183"/>
      <c r="AG134" s="183"/>
      <c r="AH134" s="268"/>
      <c r="AI134" s="183"/>
      <c r="AL134" s="267"/>
      <c r="AM134" s="268"/>
      <c r="AN134" s="267"/>
      <c r="AO134" s="269"/>
      <c r="AP134" s="269"/>
      <c r="AQ134" s="173"/>
    </row>
    <row r="135" spans="1:48" s="17" customFormat="1" outlineLevel="1">
      <c r="B135" s="3"/>
      <c r="C135" s="3"/>
      <c r="D135" s="3"/>
      <c r="E135" s="3"/>
      <c r="F135" s="3"/>
      <c r="G135" s="3"/>
      <c r="H135" s="57"/>
      <c r="I135" s="57"/>
      <c r="J135" s="57"/>
      <c r="K135" s="57"/>
      <c r="L135" s="57"/>
      <c r="M135" s="57"/>
      <c r="N135" s="57"/>
      <c r="O135" s="57"/>
      <c r="P135" s="57"/>
      <c r="Q135" s="57"/>
      <c r="R135" s="57"/>
      <c r="S135" s="57"/>
      <c r="T135" s="57"/>
      <c r="U135" s="57"/>
      <c r="V135" s="57"/>
      <c r="W135" s="57"/>
      <c r="X135" s="57"/>
      <c r="Y135" s="57"/>
      <c r="Z135" s="57"/>
      <c r="AA135" s="57"/>
      <c r="AB135" s="57"/>
      <c r="AC135" s="57"/>
      <c r="AD135" s="274"/>
      <c r="AE135" s="275"/>
      <c r="AF135" s="183"/>
      <c r="AG135" s="183"/>
      <c r="AH135" s="268"/>
      <c r="AI135" s="183"/>
      <c r="AJ135" s="278" t="s">
        <v>175</v>
      </c>
      <c r="AK135" s="279" t="b">
        <v>1</v>
      </c>
      <c r="AL135" s="267"/>
      <c r="AM135" s="267"/>
      <c r="AN135" s="267"/>
      <c r="AO135" s="269"/>
      <c r="AP135" s="269"/>
      <c r="AQ135" s="173"/>
    </row>
    <row r="136" spans="1:48" s="17" customFormat="1" outlineLevel="1">
      <c r="B136" s="3"/>
      <c r="C136" s="4"/>
      <c r="D136" s="4"/>
      <c r="E136" s="17">
        <v>1.4552539892460783</v>
      </c>
      <c r="F136" s="4">
        <v>2.8875190196317417</v>
      </c>
      <c r="G136">
        <v>2.8875190196317417</v>
      </c>
      <c r="H136" s="12">
        <v>1.4842734081471474</v>
      </c>
      <c r="I136" s="12">
        <v>0</v>
      </c>
      <c r="J136" s="6">
        <v>2.5400643475624087</v>
      </c>
      <c r="K136" s="6">
        <v>4.0543971025219712</v>
      </c>
      <c r="L136" s="6">
        <v>2.8875190196317417</v>
      </c>
      <c r="M136" s="266">
        <v>1.4552539892460783</v>
      </c>
      <c r="N136" s="6">
        <v>1.3109671287856193</v>
      </c>
      <c r="O136" s="175">
        <v>1.3109671287856193</v>
      </c>
      <c r="P136" s="183">
        <v>1.3109671287856193</v>
      </c>
      <c r="Q136" s="175">
        <v>1.3109671287856193</v>
      </c>
      <c r="R136" s="6">
        <v>1.3109671287856193</v>
      </c>
      <c r="S136" s="6">
        <v>1.3109671287856193</v>
      </c>
      <c r="T136" s="183">
        <v>1.3109671287856193</v>
      </c>
      <c r="U136" s="175">
        <v>1.3109671287856193</v>
      </c>
      <c r="V136" s="6">
        <v>1.3109671287856193</v>
      </c>
      <c r="W136" s="6">
        <v>1.3109671287856193</v>
      </c>
      <c r="X136" s="183">
        <v>1.3109671287856193</v>
      </c>
      <c r="Y136" s="183">
        <v>1.3109671287856193</v>
      </c>
      <c r="Z136" s="268">
        <v>3.133369251341843</v>
      </c>
      <c r="AA136" s="183">
        <v>3.133369251341843</v>
      </c>
      <c r="AB136" s="183">
        <v>3.133369251341843</v>
      </c>
      <c r="AC136" s="268">
        <v>3.133369251341843</v>
      </c>
      <c r="AD136" s="267"/>
      <c r="AE136" s="268"/>
      <c r="AF136" s="183"/>
      <c r="AG136" s="183"/>
      <c r="AH136" s="268"/>
      <c r="AI136" s="183"/>
      <c r="AJ136" s="253" t="s">
        <v>173</v>
      </c>
      <c r="AK136" s="251">
        <f ca="1">IF($AK$135,AK132,($AJ$120-SUMPRODUCT(AD109:AD118*AO109:AO118*(AR109:AR118=0))-SUMPRODUCT(AE109:AE118*AP109:AP118*(AR109:AR118=0)))/(SUMPRODUCT(AD109:AD118,AO109:AO118,AR109:AR118)+SUMPRODUCT(AE109:AE118,AP109:AP118,AR109:AR118)))</f>
        <v>1.0582739528296783</v>
      </c>
      <c r="AL136" s="267"/>
      <c r="AM136" s="11"/>
      <c r="AN136" s="267"/>
      <c r="AO136" s="269"/>
      <c r="AP136" s="269"/>
      <c r="AQ136" s="173"/>
    </row>
    <row r="137" spans="1:48" s="17" customFormat="1" outlineLevel="1">
      <c r="B137" s="3"/>
      <c r="D137" s="496"/>
      <c r="E137" s="496">
        <v>0</v>
      </c>
      <c r="F137" s="4">
        <v>0</v>
      </c>
      <c r="G137">
        <v>2.5987671176685678</v>
      </c>
      <c r="H137" s="12">
        <v>0</v>
      </c>
      <c r="I137" s="12">
        <v>0</v>
      </c>
      <c r="J137" s="6">
        <v>0</v>
      </c>
      <c r="K137" s="6">
        <v>0</v>
      </c>
      <c r="L137" s="6">
        <v>0</v>
      </c>
      <c r="M137" s="266">
        <v>0</v>
      </c>
      <c r="N137" s="6">
        <v>1.1798704159070574</v>
      </c>
      <c r="O137" s="175">
        <v>1.1798704159070574</v>
      </c>
      <c r="P137" s="183">
        <v>1.1798704159070574</v>
      </c>
      <c r="Q137" s="175">
        <v>1.1798704159070574</v>
      </c>
      <c r="R137" s="6">
        <v>1.1798704159070574</v>
      </c>
      <c r="S137" s="6">
        <v>1.1798704159070574</v>
      </c>
      <c r="T137" s="183">
        <v>1.1798704159070574</v>
      </c>
      <c r="U137" s="175">
        <v>1.1798704159070574</v>
      </c>
      <c r="V137" s="6">
        <v>1.1798704159070574</v>
      </c>
      <c r="W137" s="6">
        <v>1.1798704159070574</v>
      </c>
      <c r="X137" s="183">
        <v>1.1798704159070574</v>
      </c>
      <c r="Y137" s="183">
        <v>1.1798704159070574</v>
      </c>
      <c r="Z137" s="268">
        <v>0</v>
      </c>
      <c r="AA137" s="183">
        <v>0</v>
      </c>
      <c r="AB137" s="183">
        <v>0</v>
      </c>
      <c r="AC137" s="268">
        <v>0</v>
      </c>
      <c r="AD137" s="267"/>
      <c r="AE137" s="268"/>
      <c r="AF137" s="183"/>
      <c r="AG137" s="183"/>
      <c r="AH137" s="268"/>
      <c r="AI137" s="183"/>
      <c r="AJ137" s="253" t="s">
        <v>174</v>
      </c>
      <c r="AK137" s="251">
        <f ca="1">IF($AK$135,AK132,($C$105-SUMPRODUCT(E119:AC119*E128:AC128*(E131:AC131=0))-SUMPRODUCT(E120:AC120*E129:AC129*(E131:AC131=0)))/(SUMPRODUCT(E131:AC131,E128:AC128,E119:AC119)+SUMPRODUCT(E131:AC131,E129:AC129,E120:AC120)))</f>
        <v>1.0582739528296783</v>
      </c>
      <c r="AL137" s="267"/>
      <c r="AM137" s="11"/>
      <c r="AN137" s="267"/>
      <c r="AO137" s="269"/>
      <c r="AP137" s="269"/>
      <c r="AQ137" s="173"/>
    </row>
    <row r="138" spans="1:48" s="17" customFormat="1" ht="14.45" customHeight="1" outlineLevel="1">
      <c r="B138" s="3"/>
      <c r="C138" s="4"/>
      <c r="D138" s="4"/>
      <c r="E138" s="146"/>
      <c r="F138" s="4"/>
      <c r="G138"/>
      <c r="H138" s="12"/>
      <c r="I138" s="12"/>
      <c r="J138" s="6"/>
      <c r="K138" s="6"/>
      <c r="L138" s="6"/>
      <c r="M138" s="266"/>
      <c r="N138" s="6"/>
      <c r="O138" s="175"/>
      <c r="P138" s="183"/>
      <c r="Q138" s="175"/>
      <c r="R138" s="6"/>
      <c r="S138" s="6"/>
      <c r="T138" s="183"/>
      <c r="U138" s="175"/>
      <c r="V138" s="6"/>
      <c r="W138" s="6"/>
      <c r="X138" s="183"/>
      <c r="Y138" s="183"/>
      <c r="Z138" s="268"/>
      <c r="AA138" s="183"/>
      <c r="AB138" s="183"/>
      <c r="AC138" s="268"/>
      <c r="AD138" s="267"/>
      <c r="AE138" s="268"/>
      <c r="AF138" s="183"/>
      <c r="AG138" s="183"/>
      <c r="AH138" s="268"/>
      <c r="AI138" s="183"/>
      <c r="AJ138" s="183"/>
      <c r="AK138" s="268"/>
      <c r="AL138" s="267"/>
      <c r="AM138" s="11"/>
      <c r="AN138" s="267"/>
      <c r="AO138" s="269"/>
      <c r="AP138" s="269"/>
      <c r="AQ138" s="173"/>
    </row>
    <row r="140" spans="1:48" ht="18.75">
      <c r="A140" s="60" t="s">
        <v>301</v>
      </c>
      <c r="B140" s="60"/>
      <c r="C140" s="60"/>
      <c r="D140" s="60"/>
      <c r="E140" s="60"/>
      <c r="F140" s="60"/>
      <c r="G140" s="60"/>
      <c r="H140" s="61"/>
      <c r="I140" s="61"/>
      <c r="J140" s="60"/>
      <c r="K140" s="60"/>
      <c r="L140" s="60"/>
      <c r="M140" s="60"/>
      <c r="N140" s="60"/>
      <c r="O140" s="60"/>
      <c r="P140" s="60"/>
      <c r="Q140" s="60"/>
      <c r="R140" s="60"/>
      <c r="S140" s="60"/>
      <c r="T140" s="60"/>
      <c r="U140" s="60"/>
      <c r="V140" s="60"/>
      <c r="W140" s="60"/>
      <c r="X140" s="60"/>
      <c r="Y140" s="60"/>
      <c r="Z140" s="60"/>
      <c r="AA140" s="60"/>
      <c r="AB140" s="60"/>
      <c r="AC140" s="60"/>
      <c r="AD140" s="60"/>
      <c r="AE140" s="60"/>
      <c r="AF140" s="60"/>
      <c r="AG140" s="60"/>
      <c r="AH140" s="60"/>
      <c r="AI140" s="60"/>
      <c r="AJ140" s="60"/>
      <c r="AK140" s="60"/>
      <c r="AL140" s="60"/>
      <c r="AM140" s="60"/>
      <c r="AN140" s="60"/>
      <c r="AO140" s="60"/>
      <c r="AP140" s="60"/>
      <c r="AQ140" s="60"/>
      <c r="AR140" s="60"/>
      <c r="AS140" s="60"/>
      <c r="AT140" s="60"/>
      <c r="AU140" s="60"/>
      <c r="AV140" s="60"/>
    </row>
    <row r="141" spans="1:48">
      <c r="A141" s="1" t="s">
        <v>223</v>
      </c>
      <c r="B141" s="187" t="s">
        <v>206</v>
      </c>
      <c r="H141"/>
      <c r="I141"/>
    </row>
    <row r="142" spans="1:48">
      <c r="E142" s="324" t="s">
        <v>82</v>
      </c>
      <c r="F142" s="324" t="s">
        <v>82</v>
      </c>
      <c r="G142" s="324" t="s">
        <v>82</v>
      </c>
      <c r="H142" s="324" t="s">
        <v>82</v>
      </c>
      <c r="I142" s="324" t="s">
        <v>82</v>
      </c>
      <c r="J142" s="324" t="s">
        <v>82</v>
      </c>
      <c r="K142" s="324" t="s">
        <v>82</v>
      </c>
      <c r="L142" s="325" t="s">
        <v>83</v>
      </c>
      <c r="M142" s="325" t="s">
        <v>82</v>
      </c>
      <c r="N142" s="316" t="s">
        <v>83</v>
      </c>
      <c r="O142" s="316" t="s">
        <v>83</v>
      </c>
      <c r="P142" s="316" t="s">
        <v>83</v>
      </c>
      <c r="Q142" s="316" t="s">
        <v>83</v>
      </c>
      <c r="R142" s="316" t="s">
        <v>83</v>
      </c>
      <c r="S142" s="316" t="s">
        <v>83</v>
      </c>
      <c r="T142" s="316" t="s">
        <v>83</v>
      </c>
      <c r="U142" s="316" t="s">
        <v>83</v>
      </c>
      <c r="V142" s="316" t="s">
        <v>83</v>
      </c>
      <c r="W142" s="316" t="s">
        <v>83</v>
      </c>
      <c r="X142" s="316" t="s">
        <v>83</v>
      </c>
      <c r="Y142" s="316" t="s">
        <v>83</v>
      </c>
      <c r="Z142" s="316" t="s">
        <v>83</v>
      </c>
      <c r="AA142" s="316" t="s">
        <v>83</v>
      </c>
      <c r="AB142" s="316" t="s">
        <v>83</v>
      </c>
      <c r="AC142" s="316" t="s">
        <v>83</v>
      </c>
    </row>
    <row r="143" spans="1:48">
      <c r="D143" s="187"/>
      <c r="E143" s="267" t="str">
        <f t="shared" ref="E143:AE152" si="49">E107</f>
        <v>Exit</v>
      </c>
      <c r="F143" s="267" t="str">
        <f t="shared" si="49"/>
        <v>Exit</v>
      </c>
      <c r="G143" s="267" t="str">
        <f t="shared" si="49"/>
        <v>Exit</v>
      </c>
      <c r="H143" s="267" t="str">
        <f t="shared" si="49"/>
        <v>Exit</v>
      </c>
      <c r="I143" s="267" t="str">
        <f t="shared" si="49"/>
        <v>Exit</v>
      </c>
      <c r="J143" s="267" t="str">
        <f t="shared" si="49"/>
        <v>Exit</v>
      </c>
      <c r="K143" s="267" t="str">
        <f t="shared" si="49"/>
        <v>Exit</v>
      </c>
      <c r="L143" s="267" t="str">
        <f t="shared" si="49"/>
        <v>Exit</v>
      </c>
      <c r="M143" s="267" t="str">
        <f t="shared" si="49"/>
        <v>Exit</v>
      </c>
      <c r="N143" s="267" t="str">
        <f t="shared" si="49"/>
        <v>Exit</v>
      </c>
      <c r="O143" s="267" t="str">
        <f t="shared" si="49"/>
        <v>Exit</v>
      </c>
      <c r="P143" s="267" t="str">
        <f t="shared" si="49"/>
        <v>Exit</v>
      </c>
      <c r="Q143" s="267" t="str">
        <f t="shared" si="49"/>
        <v>Exit</v>
      </c>
      <c r="R143" s="267" t="str">
        <f t="shared" si="49"/>
        <v>Exit</v>
      </c>
      <c r="S143" s="267" t="str">
        <f t="shared" si="49"/>
        <v>Exit</v>
      </c>
      <c r="T143" s="267" t="str">
        <f t="shared" si="49"/>
        <v>Exit</v>
      </c>
      <c r="U143" s="267" t="str">
        <f t="shared" si="49"/>
        <v>Exit</v>
      </c>
      <c r="V143" s="267" t="str">
        <f t="shared" si="49"/>
        <v>Exit</v>
      </c>
      <c r="W143" s="267" t="str">
        <f t="shared" si="49"/>
        <v>Exit</v>
      </c>
      <c r="X143" s="267" t="str">
        <f t="shared" si="49"/>
        <v>Exit</v>
      </c>
      <c r="Y143" s="267" t="str">
        <f t="shared" si="49"/>
        <v>Exit</v>
      </c>
      <c r="Z143" s="267" t="str">
        <f t="shared" si="49"/>
        <v>Exit</v>
      </c>
      <c r="AA143" s="267" t="str">
        <f t="shared" si="49"/>
        <v>Exit</v>
      </c>
      <c r="AB143" s="267" t="str">
        <f t="shared" si="49"/>
        <v>Exit</v>
      </c>
      <c r="AC143" s="267" t="str">
        <f t="shared" si="49"/>
        <v>Exit</v>
      </c>
      <c r="AD143" s="267" t="str">
        <f t="shared" si="49"/>
        <v>FZK</v>
      </c>
      <c r="AE143" s="267" t="str">
        <f t="shared" si="49"/>
        <v>DZK</v>
      </c>
      <c r="AR143" s="3"/>
    </row>
    <row r="144" spans="1:48" ht="62.25" customHeight="1" thickBot="1">
      <c r="B144" s="17"/>
      <c r="D144" s="187"/>
      <c r="E144" s="204" t="str">
        <f t="shared" si="49"/>
        <v>Baumgarten</v>
      </c>
      <c r="F144" s="204" t="str">
        <f t="shared" si="49"/>
        <v>Oberkappel</v>
      </c>
      <c r="G144" s="204" t="str">
        <f t="shared" si="49"/>
        <v>Überackern</v>
      </c>
      <c r="H144" s="204" t="str">
        <f t="shared" si="49"/>
        <v>Mosonmagyarovar</v>
      </c>
      <c r="I144" s="204" t="str">
        <f t="shared" si="49"/>
        <v>Petrzalka</v>
      </c>
      <c r="J144" s="204" t="str">
        <f t="shared" si="49"/>
        <v>Murfeld</v>
      </c>
      <c r="K144" s="204" t="str">
        <f t="shared" si="49"/>
        <v>Arnoldstein</v>
      </c>
      <c r="L144" s="204" t="str">
        <f t="shared" si="49"/>
        <v>Storage 7-fields</v>
      </c>
      <c r="M144" s="204" t="str">
        <f t="shared" si="49"/>
        <v>Storage MAB</v>
      </c>
      <c r="N144" s="204" t="str">
        <f t="shared" si="49"/>
        <v>Auersthal</v>
      </c>
      <c r="O144" s="204" t="str">
        <f t="shared" si="49"/>
        <v>Kirchberg</v>
      </c>
      <c r="P144" s="204" t="str">
        <f t="shared" si="49"/>
        <v>Gr. Göttfritz</v>
      </c>
      <c r="Q144" s="204" t="str">
        <f t="shared" si="49"/>
        <v>Rainbach</v>
      </c>
      <c r="R144" s="204" t="str">
        <f t="shared" si="49"/>
        <v>Bad Leonfelden</v>
      </c>
      <c r="S144" s="204" t="str">
        <f t="shared" si="49"/>
        <v>Arnreith</v>
      </c>
      <c r="T144" s="204" t="str">
        <f t="shared" si="49"/>
        <v>Baumgarten-PVS2</v>
      </c>
      <c r="U144" s="204" t="str">
        <f t="shared" si="49"/>
        <v>Eggendorf</v>
      </c>
      <c r="V144" s="204" t="str">
        <f t="shared" si="49"/>
        <v>Grafendorf</v>
      </c>
      <c r="W144" s="204" t="str">
        <f t="shared" si="49"/>
        <v>St. Margarethen</v>
      </c>
      <c r="X144" s="204" t="str">
        <f t="shared" si="49"/>
        <v>Weitendorf</v>
      </c>
      <c r="Y144" s="204" t="str">
        <f t="shared" si="49"/>
        <v>Sulmeck-Greith</v>
      </c>
      <c r="Z144" s="204" t="str">
        <f t="shared" si="49"/>
        <v>Ettendorf</v>
      </c>
      <c r="AA144" s="204" t="str">
        <f t="shared" si="49"/>
        <v>Waisenberg</v>
      </c>
      <c r="AB144" s="204" t="str">
        <f t="shared" si="49"/>
        <v>Ebenthal</v>
      </c>
      <c r="AC144" s="204" t="str">
        <f t="shared" si="49"/>
        <v>Finkenstein</v>
      </c>
      <c r="AD144" s="185" t="str">
        <f t="shared" si="49"/>
        <v>forecasted capacity (kWh/h)</v>
      </c>
      <c r="AE144" s="185" t="str">
        <f t="shared" si="49"/>
        <v>forecasted capacity (kWh/h)</v>
      </c>
      <c r="AF144" s="322" t="s">
        <v>209</v>
      </c>
      <c r="AG144" s="295" t="s">
        <v>207</v>
      </c>
      <c r="AH144" s="20" t="s">
        <v>78</v>
      </c>
      <c r="AI144" s="20" t="s">
        <v>79</v>
      </c>
      <c r="AJ144" s="20" t="s">
        <v>76</v>
      </c>
      <c r="AK144" s="20" t="s">
        <v>77</v>
      </c>
      <c r="AL144" s="20" t="s">
        <v>213</v>
      </c>
      <c r="AM144" s="20" t="s">
        <v>214</v>
      </c>
      <c r="AO144" s="322" t="s">
        <v>215</v>
      </c>
      <c r="AP144" s="322" t="s">
        <v>221</v>
      </c>
      <c r="AQ144" s="322" t="s">
        <v>222</v>
      </c>
    </row>
    <row r="145" spans="2:43" ht="15.75" thickBot="1">
      <c r="B145" s="188" t="str">
        <f t="shared" ref="B145:B156" si="50">B109</f>
        <v>Entry</v>
      </c>
      <c r="D145" s="188" t="str">
        <f t="shared" ref="D145:E156" si="51">D109</f>
        <v>Baumgarten</v>
      </c>
      <c r="E145" s="190">
        <f t="shared" si="51"/>
        <v>0</v>
      </c>
      <c r="F145" s="190">
        <f t="shared" si="49"/>
        <v>245</v>
      </c>
      <c r="G145" s="190">
        <f t="shared" si="49"/>
        <v>340</v>
      </c>
      <c r="H145" s="190">
        <f t="shared" si="49"/>
        <v>49</v>
      </c>
      <c r="I145" s="190">
        <f t="shared" si="49"/>
        <v>39</v>
      </c>
      <c r="J145" s="190">
        <f t="shared" si="49"/>
        <v>241</v>
      </c>
      <c r="K145" s="190">
        <f t="shared" si="49"/>
        <v>384.59447</v>
      </c>
      <c r="L145" s="190">
        <f t="shared" si="49"/>
        <v>337</v>
      </c>
      <c r="M145" s="190">
        <f t="shared" si="49"/>
        <v>5</v>
      </c>
      <c r="N145" s="190">
        <f t="shared" si="49"/>
        <v>27</v>
      </c>
      <c r="O145" s="190">
        <f t="shared" si="49"/>
        <v>81</v>
      </c>
      <c r="P145" s="190">
        <f t="shared" si="49"/>
        <v>136</v>
      </c>
      <c r="Q145" s="190">
        <f t="shared" si="49"/>
        <v>188</v>
      </c>
      <c r="R145" s="190">
        <f t="shared" si="49"/>
        <v>205</v>
      </c>
      <c r="S145" s="190">
        <f t="shared" si="49"/>
        <v>225</v>
      </c>
      <c r="T145" s="190">
        <f t="shared" si="49"/>
        <v>3.05</v>
      </c>
      <c r="U145" s="190">
        <f t="shared" si="49"/>
        <v>74.84778</v>
      </c>
      <c r="V145" s="190">
        <f t="shared" si="49"/>
        <v>140.48994999999999</v>
      </c>
      <c r="W145" s="190">
        <f t="shared" si="49"/>
        <v>183.23273</v>
      </c>
      <c r="X145" s="190">
        <f t="shared" si="49"/>
        <v>213.69001</v>
      </c>
      <c r="Y145" s="190">
        <f t="shared" si="49"/>
        <v>234.34958</v>
      </c>
      <c r="Z145" s="190">
        <f t="shared" si="49"/>
        <v>271.73602</v>
      </c>
      <c r="AA145" s="190">
        <f t="shared" si="49"/>
        <v>303.39652000000001</v>
      </c>
      <c r="AB145" s="190">
        <f t="shared" si="49"/>
        <v>323.51218999999998</v>
      </c>
      <c r="AC145" s="190">
        <f t="shared" si="49"/>
        <v>364.42469</v>
      </c>
      <c r="AD145" s="451">
        <f t="shared" ca="1" si="49"/>
        <v>24670481.391985364</v>
      </c>
      <c r="AE145" s="272">
        <f t="shared" si="49"/>
        <v>0</v>
      </c>
      <c r="AF145" s="47">
        <f ca="1">SUM(AD145:AE145)/1000</f>
        <v>24670.481391985366</v>
      </c>
      <c r="AG145" s="158">
        <f t="shared" ref="AG145:AG154" ca="1" si="52">AF109</f>
        <v>115.80575192789931</v>
      </c>
      <c r="AH145" s="180" cm="1">
        <f t="array" aca="1" ref="AH145" ca="1">(SUMPRODUCT(E145:AC145*$E$155:$AC$155*($E$142:$AC$142="Intra"))+SUMPRODUCT(E145:AC145*$E$156:$AC$156*AZ109:BX109*($E$142:$AC$142="Intra")))/(SUMPRODUCT($E$155:$AC$155*(E109:AC109&lt;&gt;0)*($E$142:$AC$142="Intra"))+SUMPRODUCT($E$156:$AC$156*AZ109:BX109*(E109:AC109&lt;&gt;0)*($E$142:$AC$142="Intra")))</f>
        <v>31.296787460123472</v>
      </c>
      <c r="AI145" s="180" cm="1">
        <f t="array" aca="1" ref="AI145" ca="1">(SUMPRODUCT(E145:AC145*$E$155:$AC$155*($E$142:$AC$142="Cross"))+SUMPRODUCT(E145:AC145*$E$156:$AC$156*AZ109:BX109*($E$142:$AC$142="Cross")))/(SUMPRODUCT($E$155:$AC$155*(E145:AC145&lt;&gt;0)*($E$142:$AC$142="Cross"))+SUMPRODUCT($E$156:$AC$156*AZ109:BX109*(E109:AC109&lt;&gt;0)*($E$142:$AC$142="Cross")))</f>
        <v>189.62725371808409</v>
      </c>
      <c r="AJ145" s="323">
        <f ca="1">AF145-AK145</f>
        <v>6316.4040951905554</v>
      </c>
      <c r="AK145" s="323">
        <f ca="1">AF145/SUM($AF$145:$AF$154)*SUMIFS($E$157:$AC$157,$E$142:$AC$142,"Cross")</f>
        <v>18354.077296794811</v>
      </c>
      <c r="AL145" s="323">
        <f ca="1">AH145*AJ145</f>
        <v>197683.15647943231</v>
      </c>
      <c r="AM145" s="323">
        <f ca="1">AI145*AK145</f>
        <v>3480433.2723206365</v>
      </c>
      <c r="AO145" s="66">
        <f t="shared" ref="AO145:AO154" ca="1" si="53">IFERROR(SUMPRODUCT(AP145:AQ145,AD145:AE145)/SUM(AD145:AE145),0)</f>
        <v>1.372598089052816</v>
      </c>
      <c r="AP145" s="65">
        <f ca="1">SUMIFS($J$53:$J$98,$F$53:$F$98,D145,$D$53:$D$98,$B145,$E$53:$E$98,"FZK")/2</f>
        <v>1.372598089052816</v>
      </c>
      <c r="AQ145" s="65">
        <f>SUMIFS($J$53:$J$98,$F$53:$F$98,D145,$D$53:$D$98,$B145,$E$53:$E$98,"DZK")/2</f>
        <v>0</v>
      </c>
    </row>
    <row r="146" spans="2:43" ht="15.75" thickBot="1">
      <c r="B146" s="188" t="str">
        <f t="shared" si="50"/>
        <v>Entry</v>
      </c>
      <c r="D146" s="188" t="str">
        <f t="shared" si="51"/>
        <v>Oberkappel</v>
      </c>
      <c r="E146" s="190">
        <f t="shared" si="51"/>
        <v>245</v>
      </c>
      <c r="F146" s="190">
        <f t="shared" si="49"/>
        <v>0</v>
      </c>
      <c r="G146" s="190">
        <f t="shared" si="49"/>
        <v>95</v>
      </c>
      <c r="H146" s="190">
        <f t="shared" si="49"/>
        <v>288</v>
      </c>
      <c r="I146" s="190">
        <f t="shared" si="49"/>
        <v>278</v>
      </c>
      <c r="J146" s="190">
        <f t="shared" si="49"/>
        <v>480</v>
      </c>
      <c r="K146" s="190">
        <f t="shared" si="49"/>
        <v>623.59447</v>
      </c>
      <c r="L146" s="190">
        <f t="shared" si="49"/>
        <v>92</v>
      </c>
      <c r="M146" s="190">
        <f t="shared" si="49"/>
        <v>244</v>
      </c>
      <c r="N146" s="190">
        <f t="shared" si="49"/>
        <v>218</v>
      </c>
      <c r="O146" s="190">
        <f t="shared" si="49"/>
        <v>164</v>
      </c>
      <c r="P146" s="190">
        <f t="shared" si="49"/>
        <v>109</v>
      </c>
      <c r="Q146" s="190">
        <f t="shared" si="49"/>
        <v>57</v>
      </c>
      <c r="R146" s="190">
        <f t="shared" si="49"/>
        <v>40</v>
      </c>
      <c r="S146" s="190">
        <f t="shared" si="49"/>
        <v>20</v>
      </c>
      <c r="T146" s="190">
        <f t="shared" si="49"/>
        <v>241.95</v>
      </c>
      <c r="U146" s="190">
        <f t="shared" si="49"/>
        <v>313.84778</v>
      </c>
      <c r="V146" s="190">
        <f t="shared" si="49"/>
        <v>379.48995000000002</v>
      </c>
      <c r="W146" s="190">
        <f t="shared" si="49"/>
        <v>422.23273</v>
      </c>
      <c r="X146" s="190">
        <f t="shared" si="49"/>
        <v>452.69001000000003</v>
      </c>
      <c r="Y146" s="190">
        <f t="shared" si="49"/>
        <v>473.34958</v>
      </c>
      <c r="Z146" s="190">
        <f t="shared" si="49"/>
        <v>510.73602</v>
      </c>
      <c r="AA146" s="190">
        <f t="shared" si="49"/>
        <v>542.39652000000001</v>
      </c>
      <c r="AB146" s="190">
        <f t="shared" si="49"/>
        <v>562.51218999999992</v>
      </c>
      <c r="AC146" s="190">
        <f t="shared" si="49"/>
        <v>603.42469000000006</v>
      </c>
      <c r="AD146" s="452">
        <f t="shared" ca="1" si="49"/>
        <v>9945576.720543379</v>
      </c>
      <c r="AE146" s="273">
        <f t="shared" si="49"/>
        <v>0</v>
      </c>
      <c r="AF146" s="47">
        <f t="shared" ref="AF146:AF154" ca="1" si="54">SUM(AD146:AE146)/1000</f>
        <v>9945.5767205433785</v>
      </c>
      <c r="AG146" s="158">
        <f t="shared" ca="1" si="52"/>
        <v>279.96645651426536</v>
      </c>
      <c r="AH146" s="180" cm="1">
        <f t="array" aca="1" ref="AH146" ca="1">(SUMPRODUCT(E146:AC146*$E$155:$AC$155*($E$142:$AC$142="Intra"))+SUMPRODUCT(E146:AC146*$E$156:$AC$156*AZ110:BX110*($E$142:$AC$142="Intra")))/(SUMPRODUCT($E$155:$AC$155*(E110:AC110&lt;&gt;0)*($E$142:$AC$142="Intra"))+SUMPRODUCT($E$156:$AC$156*AZ110:BX110*(E110:AC110&lt;&gt;0)*($E$142:$AC$142="Intra")))</f>
        <v>251.25589095012279</v>
      </c>
      <c r="AI146" s="180" cm="1">
        <f t="array" aca="1" ref="AI146" ca="1">(SUMPRODUCT(E146:AC146*$E$155:$AC$155*($E$142:$AC$142="Cross"))+SUMPRODUCT(E146:AC146*$E$156:$AC$156*AZ110:BX110*($E$142:$AC$142="Cross")))/(SUMPRODUCT($E$155:$AC$155*(E146:AC146&lt;&gt;0)*($E$142:$AC$142="Cross"))+SUMPRODUCT($E$156:$AC$156*AZ110:BX110*(E110:AC110&lt;&gt;0)*($E$142:$AC$142="Cross")))</f>
        <v>305.18970385696252</v>
      </c>
      <c r="AJ146" s="323">
        <f t="shared" ref="AJ146:AJ154" ca="1" si="55">AF146-AK146</f>
        <v>2546.3743705901215</v>
      </c>
      <c r="AK146" s="323">
        <f ca="1">AF146/SUM($AF$145:$AF$154)*SUMIFS($E$157:$AC$157,$E$142:$AC$142,"Cross")</f>
        <v>7399.202349953257</v>
      </c>
      <c r="AL146" s="323">
        <f t="shared" ref="AL146:AM154" ca="1" si="56">AH146*AJ146</f>
        <v>639791.56117517909</v>
      </c>
      <c r="AM146" s="323">
        <f t="shared" ca="1" si="56"/>
        <v>2258160.3739599758</v>
      </c>
      <c r="AO146" s="66">
        <f t="shared" ca="1" si="53"/>
        <v>1.372598089052816</v>
      </c>
      <c r="AP146" s="4">
        <f ca="1">SUMIFS($J$53:$J$98,$F$53:$F$98,D146,$D$53:$D$98,$B146,$E$53:$E$98,"FZK")</f>
        <v>1.372598089052816</v>
      </c>
      <c r="AQ146" s="4">
        <f>SUMIFS($J$53:$J$98,$F$53:$F$98,D146,$D$53:$D$98,$B146,$E$53:$E$98,"DZK")</f>
        <v>0</v>
      </c>
    </row>
    <row r="147" spans="2:43" ht="15.75" thickBot="1">
      <c r="B147" s="188" t="str">
        <f t="shared" si="50"/>
        <v>Entry</v>
      </c>
      <c r="D147" s="188" t="str">
        <f t="shared" si="51"/>
        <v>Überackern</v>
      </c>
      <c r="E147" s="190">
        <f t="shared" si="51"/>
        <v>340</v>
      </c>
      <c r="F147" s="190">
        <f t="shared" si="49"/>
        <v>95</v>
      </c>
      <c r="G147" s="190">
        <f t="shared" si="49"/>
        <v>0</v>
      </c>
      <c r="H147" s="190">
        <f t="shared" si="49"/>
        <v>383</v>
      </c>
      <c r="I147" s="190">
        <f t="shared" si="49"/>
        <v>373</v>
      </c>
      <c r="J147" s="190">
        <f t="shared" si="49"/>
        <v>575</v>
      </c>
      <c r="K147" s="190">
        <f t="shared" si="49"/>
        <v>718.59447</v>
      </c>
      <c r="L147" s="190">
        <f t="shared" si="49"/>
        <v>3</v>
      </c>
      <c r="M147" s="190">
        <f t="shared" si="49"/>
        <v>339</v>
      </c>
      <c r="N147" s="190">
        <f t="shared" si="49"/>
        <v>313</v>
      </c>
      <c r="O147" s="190">
        <f t="shared" si="49"/>
        <v>259</v>
      </c>
      <c r="P147" s="190">
        <f t="shared" si="49"/>
        <v>204</v>
      </c>
      <c r="Q147" s="190">
        <f t="shared" si="49"/>
        <v>152</v>
      </c>
      <c r="R147" s="190">
        <f t="shared" si="49"/>
        <v>135</v>
      </c>
      <c r="S147" s="190">
        <f t="shared" si="49"/>
        <v>115</v>
      </c>
      <c r="T147" s="190">
        <f t="shared" si="49"/>
        <v>336.95</v>
      </c>
      <c r="U147" s="190">
        <f t="shared" si="49"/>
        <v>408.84778</v>
      </c>
      <c r="V147" s="190">
        <f t="shared" si="49"/>
        <v>474.48995000000002</v>
      </c>
      <c r="W147" s="190">
        <f t="shared" si="49"/>
        <v>517.23272999999995</v>
      </c>
      <c r="X147" s="190">
        <f t="shared" si="49"/>
        <v>547.69001000000003</v>
      </c>
      <c r="Y147" s="190">
        <f t="shared" si="49"/>
        <v>568.34958000000006</v>
      </c>
      <c r="Z147" s="190">
        <f t="shared" si="49"/>
        <v>605.73602000000005</v>
      </c>
      <c r="AA147" s="190">
        <f t="shared" si="49"/>
        <v>637.39652000000001</v>
      </c>
      <c r="AB147" s="190">
        <f t="shared" si="49"/>
        <v>657.51218999999992</v>
      </c>
      <c r="AC147" s="190">
        <f t="shared" si="49"/>
        <v>698.42469000000006</v>
      </c>
      <c r="AD147" s="452">
        <f t="shared" ca="1" si="49"/>
        <v>1871337.7898630137</v>
      </c>
      <c r="AE147" s="273">
        <f t="shared" ca="1" si="49"/>
        <v>3357000</v>
      </c>
      <c r="AF147" s="47">
        <f t="shared" ca="1" si="54"/>
        <v>5228.3377898630133</v>
      </c>
      <c r="AG147" s="158">
        <f t="shared" ca="1" si="52"/>
        <v>343.14981701450279</v>
      </c>
      <c r="AH147" s="180" cm="1">
        <f t="array" aca="1" ref="AH147" ca="1">(SUMPRODUCT(E147:AC147*$E$155:$AC$155*($E$142:$AC$142="Intra"))+SUMPRODUCT(E147:AC147*$E$156:$AC$156*AZ111:BX111*($E$142:$AC$142="Intra")))/(SUMPRODUCT($E$155:$AC$155*(E111:AC111&lt;&gt;0)*($E$142:$AC$142="Intra"))+SUMPRODUCT($E$156:$AC$156*AZ111:BX111*(E111:AC111&lt;&gt;0)*($E$142:$AC$142="Intra")))</f>
        <v>365.99505501099577</v>
      </c>
      <c r="AI147" s="180" cm="1">
        <f t="array" aca="1" ref="AI147" ca="1">(SUMPRODUCT(E147:AC147*$E$155:$AC$155*($E$142:$AC$142="Cross"))+SUMPRODUCT(E147:AC147*$E$156:$AC$156*AZ111:BX111*($E$142:$AC$142="Cross")))/(SUMPRODUCT($E$155:$AC$155*(E147:AC147&lt;&gt;0)*($E$142:$AC$142="Cross"))+SUMPRODUCT($E$156:$AC$156*AZ111:BX111*(E111:AC111&lt;&gt;0)*($E$142:$AC$142="Cross")))</f>
        <v>328.13164730900547</v>
      </c>
      <c r="AJ147" s="323">
        <f ca="1">AF147-AK147</f>
        <v>1338.6157206344092</v>
      </c>
      <c r="AK147" s="323">
        <f ca="1">AF147/SUM($AF$145:$AF$154)*SUMIFS($E$157:$AC$157,$E$142:$AC$142,"Cross")</f>
        <v>3889.7220692286041</v>
      </c>
      <c r="AL147" s="323">
        <f t="shared" ca="1" si="56"/>
        <v>489926.73431217432</v>
      </c>
      <c r="AM147" s="323">
        <f t="shared" ca="1" si="56"/>
        <v>1276340.9101501752</v>
      </c>
      <c r="AO147" s="66">
        <f t="shared" ca="1" si="53"/>
        <v>1.2844666030978691</v>
      </c>
      <c r="AP147" s="4">
        <f t="shared" ref="AP147:AP154" ca="1" si="57">SUMIFS($J$53:$J$98,$F$53:$F$98,D147,$D$53:$D$98,$B147,$E$53:$E$98,"FZK")</f>
        <v>1.372598089052816</v>
      </c>
      <c r="AQ147" s="4">
        <f t="shared" ref="AQ147:AQ154" ca="1" si="58">SUMIFS($J$53:$J$98,$F$53:$F$98,D147,$D$53:$D$98,$B147,$E$53:$E$98,"DZK")</f>
        <v>1.2353382801475343</v>
      </c>
    </row>
    <row r="148" spans="2:43" ht="15.75" thickBot="1">
      <c r="B148" s="188" t="str">
        <f t="shared" si="50"/>
        <v>Entry</v>
      </c>
      <c r="D148" s="188" t="str">
        <f t="shared" si="51"/>
        <v>Mosonmagyarovar</v>
      </c>
      <c r="E148" s="190">
        <f t="shared" si="51"/>
        <v>49</v>
      </c>
      <c r="F148" s="190">
        <f t="shared" si="49"/>
        <v>288</v>
      </c>
      <c r="G148" s="190">
        <f t="shared" si="49"/>
        <v>383</v>
      </c>
      <c r="H148" s="190">
        <f t="shared" si="49"/>
        <v>0</v>
      </c>
      <c r="I148" s="190">
        <f t="shared" si="49"/>
        <v>10</v>
      </c>
      <c r="J148" s="190">
        <f t="shared" si="49"/>
        <v>284</v>
      </c>
      <c r="K148" s="190">
        <f t="shared" si="49"/>
        <v>427.59447</v>
      </c>
      <c r="L148" s="190">
        <f t="shared" si="49"/>
        <v>380</v>
      </c>
      <c r="M148" s="190">
        <f t="shared" si="49"/>
        <v>48</v>
      </c>
      <c r="N148" s="190">
        <f t="shared" si="49"/>
        <v>70</v>
      </c>
      <c r="O148" s="190">
        <f t="shared" si="49"/>
        <v>124</v>
      </c>
      <c r="P148" s="190">
        <f t="shared" si="49"/>
        <v>179</v>
      </c>
      <c r="Q148" s="190">
        <f t="shared" si="49"/>
        <v>231</v>
      </c>
      <c r="R148" s="190">
        <f t="shared" si="49"/>
        <v>248</v>
      </c>
      <c r="S148" s="190">
        <f t="shared" si="49"/>
        <v>268</v>
      </c>
      <c r="T148" s="190">
        <f t="shared" si="49"/>
        <v>46.05</v>
      </c>
      <c r="U148" s="190">
        <f t="shared" si="49"/>
        <v>117.84778</v>
      </c>
      <c r="V148" s="190">
        <f t="shared" si="49"/>
        <v>183.48994999999999</v>
      </c>
      <c r="W148" s="190">
        <f t="shared" si="49"/>
        <v>226.23273</v>
      </c>
      <c r="X148" s="190">
        <f t="shared" si="49"/>
        <v>256.69001000000003</v>
      </c>
      <c r="Y148" s="190">
        <f t="shared" si="49"/>
        <v>277.34958</v>
      </c>
      <c r="Z148" s="190">
        <f t="shared" si="49"/>
        <v>314.73602</v>
      </c>
      <c r="AA148" s="190">
        <f t="shared" si="49"/>
        <v>346.39652000000001</v>
      </c>
      <c r="AB148" s="190">
        <f t="shared" si="49"/>
        <v>366.51218999999998</v>
      </c>
      <c r="AC148" s="190">
        <f t="shared" si="49"/>
        <v>407.42469</v>
      </c>
      <c r="AD148" s="452">
        <f t="shared" ca="1" si="49"/>
        <v>0</v>
      </c>
      <c r="AE148" s="273">
        <f t="shared" si="49"/>
        <v>0</v>
      </c>
      <c r="AF148" s="47">
        <f t="shared" ca="1" si="54"/>
        <v>0</v>
      </c>
      <c r="AG148" s="158">
        <f t="shared" ca="1" si="52"/>
        <v>163.75117587385844</v>
      </c>
      <c r="AH148" s="180" cm="1">
        <f t="array" aca="1" ref="AH148" ca="1">(SUMPRODUCT(E148:AC148*$E$155:$AC$155*($E$142:$AC$142="Intra"))+SUMPRODUCT(E148:AC148*$E$156:$AC$156*AZ112:BX112*($E$142:$AC$142="Intra")))/(SUMPRODUCT($E$155:$AC$155*(E112:AC112&lt;&gt;0)*($E$142:$AC$142="Intra"))+SUMPRODUCT($E$156:$AC$156*AZ112:BX112*(E112:AC112&lt;&gt;0)*($E$142:$AC$142="Intra")))</f>
        <v>75.079206759304896</v>
      </c>
      <c r="AI148" s="180" cm="1">
        <f t="array" aca="1" ref="AI148" ca="1">(SUMPRODUCT(E148:AC148*$E$155:$AC$155*($E$142:$AC$142="Cross"))+SUMPRODUCT(E148:AC148*$E$156:$AC$156*AZ112:BX112*($E$142:$AC$142="Cross")))/(SUMPRODUCT($E$155:$AC$155*(E148:AC148&lt;&gt;0)*($E$142:$AC$142="Cross"))+SUMPRODUCT($E$156:$AC$156*AZ112:BX112*(E112:AC112&lt;&gt;0)*($E$142:$AC$142="Cross")))</f>
        <v>231.53622326962025</v>
      </c>
      <c r="AJ148" s="323">
        <f t="shared" ca="1" si="55"/>
        <v>0</v>
      </c>
      <c r="AK148" s="323">
        <f t="shared" ref="AK148:AK154" ca="1" si="59">AF148/SUM($AF$145:$AF$154)*SUMIFS($E$157:$AC$157,$E$142:$AC$142,"Cross")</f>
        <v>0</v>
      </c>
      <c r="AL148" s="323">
        <f t="shared" ca="1" si="56"/>
        <v>0</v>
      </c>
      <c r="AM148" s="323">
        <f t="shared" ca="1" si="56"/>
        <v>0</v>
      </c>
      <c r="AO148" s="66">
        <f t="shared" ca="1" si="53"/>
        <v>0</v>
      </c>
      <c r="AP148" s="4">
        <f t="shared" ca="1" si="57"/>
        <v>1.372598089052816</v>
      </c>
      <c r="AQ148" s="4">
        <f t="shared" si="58"/>
        <v>0</v>
      </c>
    </row>
    <row r="149" spans="2:43" ht="15.75" thickBot="1">
      <c r="B149" s="188" t="str">
        <f t="shared" si="50"/>
        <v>Entry</v>
      </c>
      <c r="D149" s="188" t="str">
        <f t="shared" si="51"/>
        <v>Petrzalka</v>
      </c>
      <c r="E149" s="190">
        <f t="shared" si="51"/>
        <v>39</v>
      </c>
      <c r="F149" s="190">
        <f t="shared" si="49"/>
        <v>278</v>
      </c>
      <c r="G149" s="190">
        <f t="shared" si="49"/>
        <v>373</v>
      </c>
      <c r="H149" s="190">
        <f t="shared" si="49"/>
        <v>10</v>
      </c>
      <c r="I149" s="190">
        <f t="shared" si="49"/>
        <v>0</v>
      </c>
      <c r="J149" s="190">
        <f t="shared" si="49"/>
        <v>274</v>
      </c>
      <c r="K149" s="190">
        <f t="shared" si="49"/>
        <v>417.59447</v>
      </c>
      <c r="L149" s="190">
        <f t="shared" si="49"/>
        <v>370</v>
      </c>
      <c r="M149" s="190">
        <f t="shared" si="49"/>
        <v>38</v>
      </c>
      <c r="N149" s="190">
        <f t="shared" si="49"/>
        <v>60</v>
      </c>
      <c r="O149" s="190">
        <f t="shared" si="49"/>
        <v>114</v>
      </c>
      <c r="P149" s="190">
        <f t="shared" si="49"/>
        <v>169</v>
      </c>
      <c r="Q149" s="190">
        <f t="shared" si="49"/>
        <v>221</v>
      </c>
      <c r="R149" s="190">
        <f t="shared" si="49"/>
        <v>238</v>
      </c>
      <c r="S149" s="190">
        <f t="shared" si="49"/>
        <v>258</v>
      </c>
      <c r="T149" s="190">
        <f t="shared" si="49"/>
        <v>36.049999999999997</v>
      </c>
      <c r="U149" s="190">
        <f t="shared" si="49"/>
        <v>107.84778</v>
      </c>
      <c r="V149" s="190">
        <f t="shared" si="49"/>
        <v>173.48994999999999</v>
      </c>
      <c r="W149" s="190">
        <f t="shared" si="49"/>
        <v>216.23273</v>
      </c>
      <c r="X149" s="190">
        <f t="shared" si="49"/>
        <v>246.69001</v>
      </c>
      <c r="Y149" s="190">
        <f t="shared" si="49"/>
        <v>267.34958</v>
      </c>
      <c r="Z149" s="190">
        <f t="shared" si="49"/>
        <v>304.73602</v>
      </c>
      <c r="AA149" s="190">
        <f t="shared" si="49"/>
        <v>336.39652000000001</v>
      </c>
      <c r="AB149" s="190">
        <f t="shared" si="49"/>
        <v>356.51218999999998</v>
      </c>
      <c r="AC149" s="190">
        <f t="shared" si="49"/>
        <v>397.42469</v>
      </c>
      <c r="AD149" s="452">
        <f t="shared" ca="1" si="49"/>
        <v>0</v>
      </c>
      <c r="AE149" s="273">
        <f t="shared" si="49"/>
        <v>0</v>
      </c>
      <c r="AF149" s="47">
        <f t="shared" ca="1" si="54"/>
        <v>0</v>
      </c>
      <c r="AG149" s="158">
        <f t="shared" ca="1" si="52"/>
        <v>140.94297813076173</v>
      </c>
      <c r="AH149" s="180" cm="1">
        <f t="array" aca="1" ref="AH149" ca="1">(SUMPRODUCT(E149:AC149*$E$155:$AC$155*($E$142:$AC$142="Intra"))+SUMPRODUCT(E149:AC149*$E$156:$AC$156*AZ113:BX113*($E$142:$AC$142="Intra")))/(SUMPRODUCT($E$155:$AC$155*(E113:AC113&lt;&gt;0)*($E$142:$AC$142="Intra"))+SUMPRODUCT($E$156:$AC$156*AZ113:BX113*(E113:AC113&lt;&gt;0)*($E$142:$AC$142="Intra")))</f>
        <v>65.079206759304896</v>
      </c>
      <c r="AI149" s="180" cm="1">
        <f t="array" aca="1" ref="AI149" ca="1">(SUMPRODUCT(E149:AC149*$E$155:$AC$155*($E$142:$AC$142="Cross"))+SUMPRODUCT(E149:AC149*$E$156:$AC$156*AZ113:BX113*($E$142:$AC$142="Cross")))/(SUMPRODUCT($E$155:$AC$155*(E149:AC149&lt;&gt;0)*($E$142:$AC$142="Cross"))+SUMPRODUCT($E$156:$AC$156*AZ113:BX113*(E113:AC113&lt;&gt;0)*($E$142:$AC$142="Cross")))</f>
        <v>190.40091088567706</v>
      </c>
      <c r="AJ149" s="323">
        <f t="shared" ca="1" si="55"/>
        <v>0</v>
      </c>
      <c r="AK149" s="323">
        <f t="shared" ca="1" si="59"/>
        <v>0</v>
      </c>
      <c r="AL149" s="323">
        <f t="shared" ca="1" si="56"/>
        <v>0</v>
      </c>
      <c r="AM149" s="323">
        <f t="shared" ca="1" si="56"/>
        <v>0</v>
      </c>
      <c r="AO149" s="66">
        <f t="shared" ca="1" si="53"/>
        <v>0</v>
      </c>
      <c r="AP149" s="4">
        <f t="shared" ca="1" si="57"/>
        <v>1.372598089052816</v>
      </c>
      <c r="AQ149" s="4">
        <f t="shared" si="58"/>
        <v>0</v>
      </c>
    </row>
    <row r="150" spans="2:43" ht="15.75" thickBot="1">
      <c r="B150" s="188" t="str">
        <f t="shared" si="50"/>
        <v>Entry</v>
      </c>
      <c r="D150" s="188" t="str">
        <f t="shared" si="51"/>
        <v>Murfeld</v>
      </c>
      <c r="E150" s="190">
        <f t="shared" si="49"/>
        <v>241</v>
      </c>
      <c r="F150" s="190">
        <f t="shared" si="49"/>
        <v>480</v>
      </c>
      <c r="G150" s="190">
        <f t="shared" si="49"/>
        <v>575</v>
      </c>
      <c r="H150" s="190">
        <f t="shared" si="49"/>
        <v>284</v>
      </c>
      <c r="I150" s="190">
        <f t="shared" si="49"/>
        <v>274</v>
      </c>
      <c r="J150" s="190">
        <f t="shared" si="49"/>
        <v>0</v>
      </c>
      <c r="K150" s="190">
        <f t="shared" si="49"/>
        <v>143.59447</v>
      </c>
      <c r="L150" s="190">
        <f t="shared" si="49"/>
        <v>572</v>
      </c>
      <c r="M150" s="190">
        <f t="shared" si="49"/>
        <v>240</v>
      </c>
      <c r="N150" s="190">
        <f t="shared" si="49"/>
        <v>262</v>
      </c>
      <c r="O150" s="190">
        <f t="shared" si="49"/>
        <v>316</v>
      </c>
      <c r="P150" s="190">
        <f t="shared" si="49"/>
        <v>371</v>
      </c>
      <c r="Q150" s="190">
        <f t="shared" si="49"/>
        <v>423</v>
      </c>
      <c r="R150" s="190">
        <f t="shared" si="49"/>
        <v>440</v>
      </c>
      <c r="S150" s="190">
        <f t="shared" si="49"/>
        <v>460</v>
      </c>
      <c r="T150" s="190">
        <f t="shared" si="49"/>
        <v>238.05</v>
      </c>
      <c r="U150" s="190">
        <f t="shared" si="49"/>
        <v>166.15222</v>
      </c>
      <c r="V150" s="190">
        <f t="shared" si="49"/>
        <v>100.51005000000001</v>
      </c>
      <c r="W150" s="190">
        <f t="shared" si="49"/>
        <v>57.767269999999996</v>
      </c>
      <c r="X150" s="190">
        <f t="shared" si="49"/>
        <v>27.309989999999999</v>
      </c>
      <c r="Y150" s="190">
        <f t="shared" si="49"/>
        <v>47.969560000000001</v>
      </c>
      <c r="Z150" s="190">
        <f t="shared" si="49"/>
        <v>85.355999999999995</v>
      </c>
      <c r="AA150" s="190">
        <f t="shared" si="49"/>
        <v>117.01650000000001</v>
      </c>
      <c r="AB150" s="190">
        <f t="shared" si="49"/>
        <v>137.13216999999992</v>
      </c>
      <c r="AC150" s="190">
        <f t="shared" si="49"/>
        <v>178.04467000000005</v>
      </c>
      <c r="AD150" s="452">
        <f t="shared" ca="1" si="49"/>
        <v>0</v>
      </c>
      <c r="AE150" s="273">
        <f t="shared" si="49"/>
        <v>0</v>
      </c>
      <c r="AF150" s="47">
        <f t="shared" ca="1" si="54"/>
        <v>0</v>
      </c>
      <c r="AG150" s="158">
        <f t="shared" ca="1" si="52"/>
        <v>277.08572533051495</v>
      </c>
      <c r="AH150" s="180" cm="1">
        <f t="array" aca="1" ref="AH150" ca="1">(SUMPRODUCT(E150:AC150*$E$155:$AC$155*($E$142:$AC$142="Intra"))+SUMPRODUCT(E150:AC150*$E$156:$AC$156*AZ114:BX114*($E$142:$AC$142="Intra")))/(SUMPRODUCT($E$155:$AC$155*(E114:AC114&lt;&gt;0)*($E$142:$AC$142="Intra"))+SUMPRODUCT($E$156:$AC$156*AZ114:BX114*(E114:AC114&lt;&gt;0)*($E$142:$AC$142="Intra")))</f>
        <v>213.91063108073556</v>
      </c>
      <c r="AI150" s="180" cm="1">
        <f t="array" aca="1" ref="AI150" ca="1">(SUMPRODUCT(E150:AC150*$E$155:$AC$155*($E$142:$AC$142="Cross"))+SUMPRODUCT(E150:AC150*$E$156:$AC$156*AZ114:BX114*($E$142:$AC$142="Cross")))/(SUMPRODUCT($E$155:$AC$155*(E150:AC150&lt;&gt;0)*($E$142:$AC$142="Cross"))+SUMPRODUCT($E$156:$AC$156*AZ114:BX114*(E114:AC114&lt;&gt;0)*($E$142:$AC$142="Cross")))</f>
        <v>318.95636596430063</v>
      </c>
      <c r="AJ150" s="323">
        <f t="shared" ca="1" si="55"/>
        <v>0</v>
      </c>
      <c r="AK150" s="323">
        <f ca="1">AF150/SUM($AF$145:$AF$154)*SUMIFS($E$157:$AC$157,$E$142:$AC$142,"Cross")</f>
        <v>0</v>
      </c>
      <c r="AL150" s="323">
        <f t="shared" ca="1" si="56"/>
        <v>0</v>
      </c>
      <c r="AM150" s="323">
        <f t="shared" ca="1" si="56"/>
        <v>0</v>
      </c>
      <c r="AO150" s="66">
        <f t="shared" ca="1" si="53"/>
        <v>0</v>
      </c>
      <c r="AP150" s="4">
        <f t="shared" ca="1" si="57"/>
        <v>1.372598089052816</v>
      </c>
      <c r="AQ150" s="4">
        <f t="shared" si="58"/>
        <v>0</v>
      </c>
    </row>
    <row r="151" spans="2:43" ht="15.75" thickBot="1">
      <c r="B151" s="188" t="str">
        <f t="shared" si="50"/>
        <v>Entry</v>
      </c>
      <c r="D151" s="188" t="str">
        <f t="shared" si="51"/>
        <v>Arnoldstein</v>
      </c>
      <c r="E151" s="190">
        <f t="shared" si="49"/>
        <v>384.59447</v>
      </c>
      <c r="F151" s="190">
        <f t="shared" si="49"/>
        <v>623.59447</v>
      </c>
      <c r="G151" s="190">
        <f t="shared" si="49"/>
        <v>718.59447</v>
      </c>
      <c r="H151" s="190">
        <f t="shared" si="49"/>
        <v>427.59447</v>
      </c>
      <c r="I151" s="190">
        <f t="shared" si="49"/>
        <v>417.59447</v>
      </c>
      <c r="J151" s="190">
        <f t="shared" si="49"/>
        <v>143.59447</v>
      </c>
      <c r="K151" s="190">
        <f t="shared" si="49"/>
        <v>0</v>
      </c>
      <c r="L151" s="190">
        <f t="shared" si="49"/>
        <v>715.59447</v>
      </c>
      <c r="M151" s="190">
        <f t="shared" si="49"/>
        <v>383.59447</v>
      </c>
      <c r="N151" s="190">
        <f t="shared" si="49"/>
        <v>405.59447</v>
      </c>
      <c r="O151" s="190">
        <f t="shared" si="49"/>
        <v>459.59447</v>
      </c>
      <c r="P151" s="190">
        <f t="shared" si="49"/>
        <v>514.59447</v>
      </c>
      <c r="Q151" s="190">
        <f t="shared" si="49"/>
        <v>566.59447</v>
      </c>
      <c r="R151" s="190">
        <f t="shared" si="49"/>
        <v>583.59447</v>
      </c>
      <c r="S151" s="190">
        <f t="shared" si="49"/>
        <v>603.59447</v>
      </c>
      <c r="T151" s="190">
        <f t="shared" si="49"/>
        <v>381.64447000000001</v>
      </c>
      <c r="U151" s="190">
        <f t="shared" si="49"/>
        <v>309.74669</v>
      </c>
      <c r="V151" s="190">
        <f t="shared" si="49"/>
        <v>244.10452000000001</v>
      </c>
      <c r="W151" s="190">
        <f t="shared" si="49"/>
        <v>201.36174</v>
      </c>
      <c r="X151" s="190">
        <f t="shared" si="49"/>
        <v>170.90446</v>
      </c>
      <c r="Y151" s="190">
        <f t="shared" si="49"/>
        <v>150.24489</v>
      </c>
      <c r="Z151" s="190">
        <f t="shared" si="49"/>
        <v>112.85845</v>
      </c>
      <c r="AA151" s="190">
        <f t="shared" si="49"/>
        <v>81.197949999999992</v>
      </c>
      <c r="AB151" s="190">
        <f t="shared" si="49"/>
        <v>61.082280000000026</v>
      </c>
      <c r="AC151" s="190">
        <f t="shared" si="49"/>
        <v>20.169780000000003</v>
      </c>
      <c r="AD151" s="452">
        <f t="shared" ca="1" si="49"/>
        <v>8746377.1931971237</v>
      </c>
      <c r="AE151" s="273">
        <f t="shared" ca="1" si="49"/>
        <v>521331</v>
      </c>
      <c r="AF151" s="47">
        <f t="shared" ca="1" si="54"/>
        <v>9267.7081931971243</v>
      </c>
      <c r="AG151" s="158">
        <f t="shared" ca="1" si="52"/>
        <v>430.89005224192414</v>
      </c>
      <c r="AH151" s="180" cm="1">
        <f t="array" aca="1" ref="AH151" ca="1">(SUMPRODUCT(E151:AC151*$E$155:$AC$155*($E$142:$AC$142="Intra"))+SUMPRODUCT(E151:AC151*$E$156:$AC$156*AZ115:BX115*($E$142:$AC$142="Intra")))/(SUMPRODUCT($E$155:$AC$155*(E115:AC115&lt;&gt;0)*($E$142:$AC$142="Intra"))+SUMPRODUCT($E$156:$AC$156*AZ115:BX115*(E115:AC115&lt;&gt;0)*($E$142:$AC$142="Intra")))</f>
        <v>352.5994149890044</v>
      </c>
      <c r="AI151" s="180" cm="1">
        <f t="array" aca="1" ref="AI151" ca="1">(SUMPRODUCT(E151:AC151*$E$155:$AC$155*($E$142:$AC$142="Cross"))+SUMPRODUCT(E151:AC151*$E$156:$AC$156*AZ115:BX115*($E$142:$AC$142="Cross")))/(SUMPRODUCT($E$155:$AC$155*(E151:AC151&lt;&gt;0)*($E$142:$AC$142="Cross"))+SUMPRODUCT($E$156:$AC$156*AZ115:BX115*(E115:AC115&lt;&gt;0)*($E$142:$AC$142="Cross")))</f>
        <v>492.47037362291576</v>
      </c>
      <c r="AJ151" s="323">
        <f t="shared" ca="1" si="55"/>
        <v>2372.8191215416919</v>
      </c>
      <c r="AK151" s="323">
        <f ca="1">AF151/SUM($AF$145:$AF$154)*SUMIFS($E$157:$AC$157,$E$142:$AC$142,"Cross")</f>
        <v>6894.8890716554324</v>
      </c>
      <c r="AL151" s="323">
        <f t="shared" ca="1" si="56"/>
        <v>836654.63413032389</v>
      </c>
      <c r="AM151" s="323">
        <f ca="1">AI151*AK151</f>
        <v>3395528.5972067094</v>
      </c>
      <c r="AO151" s="66">
        <f t="shared" ca="1" si="53"/>
        <v>1.3648768928363741</v>
      </c>
      <c r="AP151" s="4">
        <f t="shared" ca="1" si="57"/>
        <v>1.372598089052816</v>
      </c>
      <c r="AQ151" s="4">
        <f t="shared" ca="1" si="58"/>
        <v>1.2353382801475343</v>
      </c>
    </row>
    <row r="152" spans="2:43" ht="15.75" thickBot="1">
      <c r="B152" s="188" t="str">
        <f t="shared" si="50"/>
        <v>Entry</v>
      </c>
      <c r="D152" s="188" t="str">
        <f t="shared" si="51"/>
        <v>Storage 7-fields</v>
      </c>
      <c r="E152" s="190">
        <f t="shared" si="49"/>
        <v>337</v>
      </c>
      <c r="F152" s="190">
        <f t="shared" si="49"/>
        <v>92</v>
      </c>
      <c r="G152" s="190">
        <f t="shared" si="49"/>
        <v>3</v>
      </c>
      <c r="H152" s="190">
        <f t="shared" si="49"/>
        <v>380</v>
      </c>
      <c r="I152" s="190">
        <f t="shared" si="49"/>
        <v>370</v>
      </c>
      <c r="J152" s="190">
        <f t="shared" si="49"/>
        <v>572</v>
      </c>
      <c r="K152" s="190">
        <f t="shared" si="49"/>
        <v>715.59447</v>
      </c>
      <c r="L152" s="190">
        <f t="shared" si="49"/>
        <v>0</v>
      </c>
      <c r="M152" s="190">
        <f t="shared" si="49"/>
        <v>336</v>
      </c>
      <c r="N152" s="190">
        <f t="shared" si="49"/>
        <v>310</v>
      </c>
      <c r="O152" s="190">
        <f t="shared" si="49"/>
        <v>412</v>
      </c>
      <c r="P152" s="190">
        <f t="shared" si="49"/>
        <v>467</v>
      </c>
      <c r="Q152" s="190">
        <f t="shared" si="49"/>
        <v>519</v>
      </c>
      <c r="R152" s="190">
        <f t="shared" si="49"/>
        <v>536</v>
      </c>
      <c r="S152" s="190">
        <f t="shared" si="49"/>
        <v>556</v>
      </c>
      <c r="T152" s="190">
        <f t="shared" si="49"/>
        <v>334.05</v>
      </c>
      <c r="U152" s="190">
        <f t="shared" si="49"/>
        <v>405.84778</v>
      </c>
      <c r="V152" s="190">
        <f t="shared" ref="E152:AE156" si="60">V116</f>
        <v>471.48995000000002</v>
      </c>
      <c r="W152" s="190">
        <f t="shared" si="60"/>
        <v>514.23272999999995</v>
      </c>
      <c r="X152" s="190">
        <f t="shared" si="60"/>
        <v>544.69001000000003</v>
      </c>
      <c r="Y152" s="190">
        <f t="shared" si="60"/>
        <v>565.34958000000006</v>
      </c>
      <c r="Z152" s="190">
        <f t="shared" si="60"/>
        <v>602.73602000000005</v>
      </c>
      <c r="AA152" s="190">
        <f t="shared" si="60"/>
        <v>634.39652000000001</v>
      </c>
      <c r="AB152" s="190">
        <f t="shared" si="60"/>
        <v>654.51218999999992</v>
      </c>
      <c r="AC152" s="190">
        <f t="shared" si="60"/>
        <v>695.42469000000006</v>
      </c>
      <c r="AD152" s="452">
        <f t="shared" ca="1" si="60"/>
        <v>0</v>
      </c>
      <c r="AE152" s="273">
        <f t="shared" si="60"/>
        <v>0</v>
      </c>
      <c r="AF152" s="47">
        <f t="shared" ca="1" si="54"/>
        <v>0</v>
      </c>
      <c r="AG152" s="158">
        <f t="shared" ca="1" si="52"/>
        <v>338.48899589390766</v>
      </c>
      <c r="AH152" s="180" cm="1">
        <f t="array" aca="1" ref="AH152" ca="1">(SUMPRODUCT(E152:AC152*$E$155:$AC$155*($E$142:$AC$142="Intra"))+SUMPRODUCT(E152:AC152*$E$156:$AC$156*AZ116:BX116*($E$142:$AC$142="Intra")))/(SUMPRODUCT($E$155:$AC$155*(E116:AC116&lt;&gt;0)*($E$142:$AC$142="Intra"))+SUMPRODUCT($E$156:$AC$156*AZ116:BX116*(E116:AC116&lt;&gt;0)*($E$142:$AC$142="Intra")))</f>
        <v>363.07920675930501</v>
      </c>
      <c r="AI152" s="180" cm="1">
        <f t="array" aca="1" ref="AI152" ca="1">(SUMPRODUCT(E152:AC152*$E$155:$AC$155*($E$142:$AC$142="Cross"))+SUMPRODUCT(E152:AC152*$E$156:$AC$156*AZ116:BX116*($E$142:$AC$142="Cross")))/(SUMPRODUCT($E$155:$AC$155*(E152:AC152&lt;&gt;0)*($E$142:$AC$142="Cross"))+SUMPRODUCT($E$156:$AC$156*AZ116:BX116*(E116:AC116&lt;&gt;0)*($E$142:$AC$142="Cross")))</f>
        <v>322.45787888741</v>
      </c>
      <c r="AJ152" s="323">
        <f t="shared" ca="1" si="55"/>
        <v>0</v>
      </c>
      <c r="AK152" s="323">
        <f ca="1">AF152/SUM($AF$145:$AF$154)*SUMIFS($E$157:$AC$157,$E$142:$AC$142,"Cross")</f>
        <v>0</v>
      </c>
      <c r="AL152" s="323">
        <f t="shared" ca="1" si="56"/>
        <v>0</v>
      </c>
      <c r="AM152" s="323">
        <f t="shared" ca="1" si="56"/>
        <v>0</v>
      </c>
      <c r="AO152" s="66">
        <f t="shared" ca="1" si="53"/>
        <v>0</v>
      </c>
      <c r="AP152" s="4">
        <f t="shared" ca="1" si="57"/>
        <v>0</v>
      </c>
      <c r="AQ152" s="4">
        <f t="shared" si="58"/>
        <v>0</v>
      </c>
    </row>
    <row r="153" spans="2:43" ht="15.75" thickBot="1">
      <c r="B153" s="188" t="str">
        <f t="shared" si="50"/>
        <v>Entry</v>
      </c>
      <c r="D153" s="188" t="str">
        <f t="shared" si="51"/>
        <v>Storage MAB</v>
      </c>
      <c r="E153" s="190">
        <f t="shared" si="60"/>
        <v>5</v>
      </c>
      <c r="F153" s="190">
        <f t="shared" si="60"/>
        <v>244</v>
      </c>
      <c r="G153" s="190">
        <f t="shared" si="60"/>
        <v>339</v>
      </c>
      <c r="H153" s="190">
        <f t="shared" si="60"/>
        <v>48</v>
      </c>
      <c r="I153" s="190">
        <f t="shared" si="60"/>
        <v>38</v>
      </c>
      <c r="J153" s="190">
        <f t="shared" si="60"/>
        <v>240</v>
      </c>
      <c r="K153" s="190">
        <f t="shared" si="60"/>
        <v>383.59447</v>
      </c>
      <c r="L153" s="190">
        <f t="shared" si="60"/>
        <v>336</v>
      </c>
      <c r="M153" s="190">
        <f t="shared" si="60"/>
        <v>0</v>
      </c>
      <c r="N153" s="190">
        <f t="shared" si="60"/>
        <v>26</v>
      </c>
      <c r="O153" s="190">
        <f t="shared" si="60"/>
        <v>80</v>
      </c>
      <c r="P153" s="190">
        <f t="shared" si="60"/>
        <v>135</v>
      </c>
      <c r="Q153" s="190">
        <f t="shared" si="60"/>
        <v>187</v>
      </c>
      <c r="R153" s="190">
        <f t="shared" si="60"/>
        <v>204</v>
      </c>
      <c r="S153" s="190">
        <f t="shared" si="60"/>
        <v>224</v>
      </c>
      <c r="T153" s="190">
        <f t="shared" si="60"/>
        <v>2.0499999999999998</v>
      </c>
      <c r="U153" s="190">
        <f t="shared" si="60"/>
        <v>73.84778</v>
      </c>
      <c r="V153" s="190">
        <f t="shared" si="60"/>
        <v>139.48994999999999</v>
      </c>
      <c r="W153" s="190">
        <f t="shared" si="60"/>
        <v>182.23273</v>
      </c>
      <c r="X153" s="190">
        <f t="shared" si="60"/>
        <v>212.69001</v>
      </c>
      <c r="Y153" s="190">
        <f t="shared" si="60"/>
        <v>233.34958</v>
      </c>
      <c r="Z153" s="190">
        <f t="shared" si="60"/>
        <v>270.73602</v>
      </c>
      <c r="AA153" s="190">
        <f t="shared" si="60"/>
        <v>302.39652000000001</v>
      </c>
      <c r="AB153" s="190">
        <f t="shared" si="60"/>
        <v>322.51218999999998</v>
      </c>
      <c r="AC153" s="190">
        <f t="shared" si="60"/>
        <v>363.42469</v>
      </c>
      <c r="AD153" s="452">
        <f t="shared" ca="1" si="60"/>
        <v>7991748.5196698848</v>
      </c>
      <c r="AE153" s="273">
        <f t="shared" si="60"/>
        <v>0</v>
      </c>
      <c r="AF153" s="47">
        <f t="shared" ca="1" si="54"/>
        <v>7991.7485196698844</v>
      </c>
      <c r="AG153" s="158">
        <f t="shared" ca="1" si="52"/>
        <v>127.22616159098912</v>
      </c>
      <c r="AH153" s="180" cm="1">
        <f t="array" aca="1" ref="AH153" ca="1">(SUMPRODUCT(E153:AC153*$E$155:$AC$155*($E$142:$AC$142="Intra"))+SUMPRODUCT(E153:AC153*$E$156:$AC$156*AZ117:BX117*($E$142:$AC$142="Intra")))/(SUMPRODUCT($E$155:$AC$155*(E117:AC117&lt;&gt;0)*($E$142:$AC$142="Intra"))+SUMPRODUCT($E$156:$AC$156*AZ117:BX117*(E117:AC117&lt;&gt;0)*($E$142:$AC$142="Intra")))</f>
        <v>31.079206759304896</v>
      </c>
      <c r="AI153" s="180" cm="1">
        <f t="array" aca="1" ref="AI153" ca="1">(SUMPRODUCT(E153:AC153*$E$155:$AC$155*($E$142:$AC$142="Cross"))+SUMPRODUCT(E153:AC153*$E$156:$AC$156*AZ117:BX117*($E$142:$AC$142="Cross")))/(SUMPRODUCT($E$155:$AC$155*(E153:AC153&lt;&gt;0)*($E$142:$AC$142="Cross"))+SUMPRODUCT($E$156:$AC$156*AZ117:BX117*(E117:AC117&lt;&gt;0)*($E$142:$AC$142="Cross")))</f>
        <v>204.22153805680352</v>
      </c>
      <c r="AJ153" s="323">
        <f ca="1">AF153-AK153</f>
        <v>2046.1340934261179</v>
      </c>
      <c r="AK153" s="323">
        <f t="shared" ca="1" si="59"/>
        <v>5945.6144262437665</v>
      </c>
      <c r="AL153" s="323">
        <f t="shared" ca="1" si="56"/>
        <v>63592.224546853198</v>
      </c>
      <c r="AM153" s="323">
        <f t="shared" ca="1" si="56"/>
        <v>1214222.5228202215</v>
      </c>
      <c r="AO153" s="66">
        <f t="shared" ca="1" si="53"/>
        <v>0</v>
      </c>
      <c r="AP153" s="4">
        <f t="shared" ca="1" si="57"/>
        <v>0</v>
      </c>
      <c r="AQ153" s="4">
        <f t="shared" si="58"/>
        <v>0</v>
      </c>
    </row>
    <row r="154" spans="2:43" ht="15.75" thickBot="1">
      <c r="B154" s="188" t="str">
        <f t="shared" si="50"/>
        <v>Entry</v>
      </c>
      <c r="D154" s="240" t="str">
        <f t="shared" si="51"/>
        <v>Verteilergebiet</v>
      </c>
      <c r="E154" s="190">
        <f>E118</f>
        <v>27</v>
      </c>
      <c r="F154" s="190">
        <f t="shared" si="60"/>
        <v>218</v>
      </c>
      <c r="G154" s="190">
        <f t="shared" si="60"/>
        <v>313</v>
      </c>
      <c r="H154" s="190">
        <f t="shared" si="60"/>
        <v>70</v>
      </c>
      <c r="I154" s="190">
        <f t="shared" si="60"/>
        <v>60</v>
      </c>
      <c r="J154" s="190">
        <f t="shared" si="60"/>
        <v>262</v>
      </c>
      <c r="K154" s="190">
        <f t="shared" si="60"/>
        <v>405.59447</v>
      </c>
      <c r="L154" s="190">
        <f t="shared" si="60"/>
        <v>310</v>
      </c>
      <c r="M154" s="190">
        <f t="shared" si="60"/>
        <v>26</v>
      </c>
      <c r="N154" s="190">
        <f>N118</f>
        <v>0</v>
      </c>
      <c r="O154" s="190">
        <f t="shared" si="60"/>
        <v>54</v>
      </c>
      <c r="P154" s="190">
        <f t="shared" si="60"/>
        <v>109</v>
      </c>
      <c r="Q154" s="190">
        <f t="shared" si="60"/>
        <v>161</v>
      </c>
      <c r="R154" s="190">
        <f t="shared" si="60"/>
        <v>178</v>
      </c>
      <c r="S154" s="190">
        <f t="shared" si="60"/>
        <v>198</v>
      </c>
      <c r="T154" s="190">
        <f t="shared" si="60"/>
        <v>24</v>
      </c>
      <c r="U154" s="190">
        <f t="shared" si="60"/>
        <v>95.84778</v>
      </c>
      <c r="V154" s="190">
        <f t="shared" si="60"/>
        <v>161.48994999999999</v>
      </c>
      <c r="W154" s="190">
        <f t="shared" si="60"/>
        <v>204.23273</v>
      </c>
      <c r="X154" s="190">
        <f t="shared" si="60"/>
        <v>234.69001</v>
      </c>
      <c r="Y154" s="190">
        <f t="shared" si="60"/>
        <v>255.34958</v>
      </c>
      <c r="Z154" s="190">
        <f t="shared" si="60"/>
        <v>292.73602</v>
      </c>
      <c r="AA154" s="190">
        <f t="shared" si="60"/>
        <v>324.39652000000001</v>
      </c>
      <c r="AB154" s="190">
        <f t="shared" si="60"/>
        <v>344.51218999999998</v>
      </c>
      <c r="AC154" s="190">
        <f t="shared" si="60"/>
        <v>385.42469</v>
      </c>
      <c r="AD154" s="453">
        <f t="shared" ca="1" si="60"/>
        <v>4028400.0000000009</v>
      </c>
      <c r="AE154" s="200">
        <f t="shared" si="60"/>
        <v>0</v>
      </c>
      <c r="AF154" s="47">
        <f t="shared" ca="1" si="54"/>
        <v>4028.400000000001</v>
      </c>
      <c r="AG154" s="158">
        <f t="shared" ca="1" si="52"/>
        <v>124.83464988785683</v>
      </c>
      <c r="AH154" s="180" cm="1">
        <f t="array" aca="1" ref="AH154" ca="1">(SUMPRODUCT(E154:AC154*$E$155:$AC$155*($E$142:$AC$142="Intra"))+SUMPRODUCT(E154:AC154*$E$156:$AC$156*AZ118:BX118*($E$142:$AC$142="Intra")))/(SUMPRODUCT($E$155:$AC$155*(E118:AC118&lt;&gt;0)*($E$142:$AC$142="Intra"))+SUMPRODUCT($E$156:$AC$156*AZ118:BX118*(E118:AC118&lt;&gt;0)*($E$142:$AC$142="Intra")))</f>
        <v>53.037130885150255</v>
      </c>
      <c r="AI154" s="180" cm="1">
        <f t="array" aca="1" ref="AI154" ca="1">(SUMPRODUCT(E154:AC154*$E$155:$AC$155*($E$142:$AC$142="Cross"))+SUMPRODUCT(E154:AC154*$E$156:$AC$156*AZ118:BX118*($E$142:$AC$142="Cross")))/(SUMPRODUCT($E$155:$AC$155*(E154:AC154&lt;&gt;0)*($E$142:$AC$142="Cross"))+SUMPRODUCT($E$156:$AC$156*AZ118:BX118*(E118:AC118&lt;&gt;0)*($E$142:$AC$142="Cross")))</f>
        <v>171.64166729039056</v>
      </c>
      <c r="AJ154" s="323">
        <f t="shared" ca="1" si="55"/>
        <v>1031.3946393170863</v>
      </c>
      <c r="AK154" s="323">
        <f t="shared" ca="1" si="59"/>
        <v>2997.0053606829147</v>
      </c>
      <c r="AL154" s="323">
        <f t="shared" ca="1" si="56"/>
        <v>54702.212479702648</v>
      </c>
      <c r="AM154" s="323">
        <f t="shared" ca="1" si="56"/>
        <v>514410.99698585377</v>
      </c>
      <c r="AO154" s="66">
        <f t="shared" ca="1" si="53"/>
        <v>0</v>
      </c>
      <c r="AP154" s="4">
        <f t="shared" ca="1" si="57"/>
        <v>0</v>
      </c>
      <c r="AQ154" s="4">
        <f t="shared" si="58"/>
        <v>0</v>
      </c>
    </row>
    <row r="155" spans="2:43">
      <c r="B155" s="188" t="str">
        <f t="shared" si="50"/>
        <v>FZK</v>
      </c>
      <c r="C155" s="3"/>
      <c r="D155" s="171" t="str">
        <f t="shared" si="51"/>
        <v>forecasted capacity (kWh/h)</v>
      </c>
      <c r="E155" s="201">
        <f ca="1">E119</f>
        <v>4599480.7206585268</v>
      </c>
      <c r="F155" s="202">
        <f t="shared" ca="1" si="60"/>
        <v>13795957.000000002</v>
      </c>
      <c r="G155" s="202">
        <f t="shared" ca="1" si="60"/>
        <v>324117.03253424657</v>
      </c>
      <c r="H155" s="202">
        <f t="shared" ca="1" si="60"/>
        <v>5747512.6909736302</v>
      </c>
      <c r="I155" s="202">
        <f t="shared" ca="1" si="60"/>
        <v>0</v>
      </c>
      <c r="J155" s="202">
        <f t="shared" ca="1" si="60"/>
        <v>638698.63013698626</v>
      </c>
      <c r="K155" s="202">
        <f t="shared" ca="1" si="60"/>
        <v>6683747</v>
      </c>
      <c r="L155" s="202">
        <f t="shared" ca="1" si="60"/>
        <v>0</v>
      </c>
      <c r="M155" s="205">
        <f t="shared" ca="1" si="60"/>
        <v>7259625.5002553957</v>
      </c>
      <c r="N155" s="201">
        <f ca="1">N119</f>
        <v>0</v>
      </c>
      <c r="O155" s="202">
        <f t="shared" ca="1" si="60"/>
        <v>0</v>
      </c>
      <c r="P155" s="202">
        <f t="shared" ca="1" si="60"/>
        <v>0</v>
      </c>
      <c r="Q155" s="202">
        <f t="shared" ca="1" si="60"/>
        <v>0</v>
      </c>
      <c r="R155" s="202">
        <f t="shared" ca="1" si="60"/>
        <v>0</v>
      </c>
      <c r="S155" s="202">
        <f t="shared" ca="1" si="60"/>
        <v>0</v>
      </c>
      <c r="T155" s="202">
        <f t="shared" ca="1" si="60"/>
        <v>21422795</v>
      </c>
      <c r="U155" s="202">
        <f t="shared" ca="1" si="60"/>
        <v>1111502.9999999988</v>
      </c>
      <c r="V155" s="202">
        <f t="shared" ca="1" si="60"/>
        <v>166730.99999999983</v>
      </c>
      <c r="W155" s="202">
        <f t="shared" ca="1" si="60"/>
        <v>221438.99999999977</v>
      </c>
      <c r="X155" s="202">
        <f t="shared" ca="1" si="60"/>
        <v>1952542.9999999979</v>
      </c>
      <c r="Y155" s="202">
        <f t="shared" ca="1" si="60"/>
        <v>110455.99999999988</v>
      </c>
      <c r="Z155" s="202">
        <f t="shared" ca="1" si="60"/>
        <v>55222.999999999942</v>
      </c>
      <c r="AA155" s="202">
        <f t="shared" ca="1" si="60"/>
        <v>22021.999999999978</v>
      </c>
      <c r="AB155" s="202">
        <f t="shared" ca="1" si="60"/>
        <v>110086.9999999999</v>
      </c>
      <c r="AC155" s="203">
        <f t="shared" ca="1" si="60"/>
        <v>284538.99999999971</v>
      </c>
      <c r="AD155">
        <f t="shared" si="60"/>
        <v>0</v>
      </c>
      <c r="AE155">
        <f t="shared" si="60"/>
        <v>0</v>
      </c>
      <c r="AF155" s="330">
        <f ca="1">SUM(AF145:AF154)</f>
        <v>61132.252615258767</v>
      </c>
      <c r="AG155" s="155"/>
      <c r="AJ155" s="329">
        <f ca="1">SUM(AJ145:AJ154)</f>
        <v>15651.742040699983</v>
      </c>
      <c r="AK155" s="329">
        <f ca="1">SUM(AK145:AK154)</f>
        <v>45480.510574558786</v>
      </c>
    </row>
    <row r="156" spans="2:43" ht="15.75" thickBot="1">
      <c r="B156" s="188" t="str">
        <f t="shared" si="50"/>
        <v>DZK</v>
      </c>
      <c r="C156" s="3"/>
      <c r="D156" s="171" t="str">
        <f t="shared" si="51"/>
        <v>forecasted capacity (kWh/h)</v>
      </c>
      <c r="E156" s="198">
        <f>E120</f>
        <v>0</v>
      </c>
      <c r="F156" s="199">
        <f t="shared" si="60"/>
        <v>0</v>
      </c>
      <c r="G156" s="199">
        <f t="shared" ca="1" si="60"/>
        <v>6431372.0000000019</v>
      </c>
      <c r="H156" s="199">
        <f t="shared" si="60"/>
        <v>0</v>
      </c>
      <c r="I156" s="199">
        <f t="shared" si="60"/>
        <v>0</v>
      </c>
      <c r="J156" s="199">
        <f t="shared" si="60"/>
        <v>0</v>
      </c>
      <c r="K156" s="199">
        <f t="shared" si="60"/>
        <v>0</v>
      </c>
      <c r="L156" s="199">
        <f t="shared" si="60"/>
        <v>0</v>
      </c>
      <c r="M156" s="206">
        <f t="shared" si="60"/>
        <v>0</v>
      </c>
      <c r="N156" s="198">
        <f ca="1">N120</f>
        <v>4635629</v>
      </c>
      <c r="O156" s="199">
        <f t="shared" si="60"/>
        <v>0</v>
      </c>
      <c r="P156" s="199">
        <f t="shared" si="60"/>
        <v>0</v>
      </c>
      <c r="Q156" s="199">
        <f t="shared" si="60"/>
        <v>0</v>
      </c>
      <c r="R156" s="199">
        <f t="shared" ca="1" si="60"/>
        <v>2378663</v>
      </c>
      <c r="S156" s="199">
        <f t="shared" si="60"/>
        <v>0</v>
      </c>
      <c r="T156" s="199">
        <f t="shared" si="60"/>
        <v>0</v>
      </c>
      <c r="U156" s="199">
        <f t="shared" si="60"/>
        <v>0</v>
      </c>
      <c r="V156" s="199">
        <f t="shared" si="60"/>
        <v>0</v>
      </c>
      <c r="W156" s="199">
        <f t="shared" si="60"/>
        <v>0</v>
      </c>
      <c r="X156" s="199">
        <f t="shared" si="60"/>
        <v>0</v>
      </c>
      <c r="Y156" s="199">
        <f t="shared" si="60"/>
        <v>0</v>
      </c>
      <c r="Z156" s="199">
        <f t="shared" si="60"/>
        <v>0</v>
      </c>
      <c r="AA156" s="199">
        <f t="shared" si="60"/>
        <v>0</v>
      </c>
      <c r="AB156" s="199">
        <f t="shared" si="60"/>
        <v>0</v>
      </c>
      <c r="AC156" s="200">
        <f t="shared" si="60"/>
        <v>0</v>
      </c>
      <c r="AD156" s="148">
        <f t="shared" si="60"/>
        <v>0</v>
      </c>
      <c r="AE156" s="233">
        <f t="shared" ca="1" si="60"/>
        <v>139084393.18981758</v>
      </c>
      <c r="AG156" s="155"/>
    </row>
    <row r="157" spans="2:43">
      <c r="C157" s="29"/>
      <c r="D157" s="321" t="s">
        <v>208</v>
      </c>
      <c r="E157" s="47">
        <f ca="1">SUM(E155:E156)/1000</f>
        <v>4599.4807206585265</v>
      </c>
      <c r="F157" s="47">
        <f t="shared" ref="F157:AC157" ca="1" si="61">SUM(F155:F156)/1000</f>
        <v>13795.957000000002</v>
      </c>
      <c r="G157" s="47">
        <f t="shared" ca="1" si="61"/>
        <v>6755.4890325342485</v>
      </c>
      <c r="H157" s="47">
        <f ca="1">SUM(H155:H156)/1000</f>
        <v>5747.51269097363</v>
      </c>
      <c r="I157" s="47">
        <f t="shared" ca="1" si="61"/>
        <v>0</v>
      </c>
      <c r="J157" s="47">
        <f t="shared" ca="1" si="61"/>
        <v>638.69863013698625</v>
      </c>
      <c r="K157" s="47">
        <f t="shared" ca="1" si="61"/>
        <v>6683.7470000000003</v>
      </c>
      <c r="L157" s="47">
        <f t="shared" ca="1" si="61"/>
        <v>0</v>
      </c>
      <c r="M157" s="47">
        <f t="shared" ca="1" si="61"/>
        <v>7259.6255002553953</v>
      </c>
      <c r="N157" s="47">
        <f t="shared" ca="1" si="61"/>
        <v>4635.6289999999999</v>
      </c>
      <c r="O157" s="47">
        <f t="shared" ca="1" si="61"/>
        <v>0</v>
      </c>
      <c r="P157" s="47">
        <f t="shared" ca="1" si="61"/>
        <v>0</v>
      </c>
      <c r="Q157" s="47">
        <f t="shared" ca="1" si="61"/>
        <v>0</v>
      </c>
      <c r="R157" s="47">
        <f t="shared" ca="1" si="61"/>
        <v>2378.663</v>
      </c>
      <c r="S157" s="47">
        <f t="shared" ca="1" si="61"/>
        <v>0</v>
      </c>
      <c r="T157" s="47">
        <f t="shared" ca="1" si="61"/>
        <v>21422.794999999998</v>
      </c>
      <c r="U157" s="47">
        <f t="shared" ca="1" si="61"/>
        <v>1111.5029999999988</v>
      </c>
      <c r="V157" s="47">
        <f t="shared" ca="1" si="61"/>
        <v>166.73099999999982</v>
      </c>
      <c r="W157" s="47">
        <f t="shared" ca="1" si="61"/>
        <v>221.43899999999977</v>
      </c>
      <c r="X157" s="47">
        <f t="shared" ca="1" si="61"/>
        <v>1952.5429999999978</v>
      </c>
      <c r="Y157" s="47">
        <f t="shared" ca="1" si="61"/>
        <v>110.45599999999989</v>
      </c>
      <c r="Z157" s="47">
        <f t="shared" ca="1" si="61"/>
        <v>55.222999999999942</v>
      </c>
      <c r="AA157" s="47">
        <f t="shared" ca="1" si="61"/>
        <v>22.021999999999977</v>
      </c>
      <c r="AB157" s="47">
        <f t="shared" ca="1" si="61"/>
        <v>110.0869999999999</v>
      </c>
      <c r="AC157" s="47">
        <f t="shared" ca="1" si="61"/>
        <v>284.5389999999997</v>
      </c>
      <c r="AG157" s="155"/>
    </row>
    <row r="158" spans="2:43">
      <c r="C158" s="29"/>
      <c r="D158" s="321" t="s">
        <v>207</v>
      </c>
      <c r="E158" s="323" cm="1">
        <f t="array" aca="1" ref="E158" ca="1">(SUMPRODUCT(E145:E154,$AD$109:$AD$118)+SUMPRODUCT(E145:E154,$AE$109:$AE$118,AZ109:AZ118))/(SUMPRODUCT($AD$109:$AD$118*(E$145:E$154&lt;&gt;0))+SUMPRODUCT($AE$109:$AE$118*AZ109:AZ118*(E$145:E$154&lt;&gt;0)))</f>
        <v>202.1104875236237</v>
      </c>
      <c r="F158" s="323" cm="1">
        <f t="array" aca="1" ref="F158" ca="1">(SUMPRODUCT(F145:F154,$AD$109:$AD$118)+SUMPRODUCT(F145:F154,$AE$109:$AE$118,BA109:BA118))/(SUMPRODUCT($AD$109:$AD$118*(F$145:F$154&lt;&gt;0))+SUMPRODUCT($AE$109:$AE$118*BA109:BA118*(F$145:F$154&lt;&gt;0)))</f>
        <v>292.57336253978286</v>
      </c>
      <c r="G158" s="323" cm="1">
        <f t="array" aca="1" ref="G158" ca="1">(SUMPRODUCT(G145:G154,$AD$109:$AD$118)+SUMPRODUCT(G145:G154,$AE$109:$AE$118,BB109:BB118))/(SUMPRODUCT($AD$109:$AD$118*(G$145:G$154&lt;&gt;0))+SUMPRODUCT($AE$109:$AE$118*BB109:BB118*(G$145:G$154&lt;&gt;0)))</f>
        <v>353.68490128982063</v>
      </c>
      <c r="H158" s="323" cm="1">
        <f t="array" aca="1" ref="H158" ca="1">(SUMPRODUCT(H145:H154,$AD$109:$AD$118)+SUMPRODUCT(H145:H154,$AE$109:$AE$118,BC109:BC118))/(SUMPRODUCT($AD$109:$AD$118*(H$145:H$154&lt;&gt;0))+SUMPRODUCT($AE$109:$AE$118*BC109:BC118*(H$145:H$154&lt;&gt;0)))</f>
        <v>160.60727801883894</v>
      </c>
      <c r="I158" s="323" cm="1">
        <f t="array" aca="1" ref="I158" ca="1">(SUMPRODUCT(I145:I154,$AD$109:$AD$118)+SUMPRODUCT(I145:I154,$AE$109:$AE$118,BD109:BD118))/(SUMPRODUCT($AD$109:$AD$118*(I$145:I$154&lt;&gt;0))+SUMPRODUCT($AE$109:$AE$118*BD109:BD118*(I$145:I$154&lt;&gt;0)))</f>
        <v>150.60727801883897</v>
      </c>
      <c r="J158" s="323" cm="1">
        <f t="array" aca="1" ref="J158" ca="1">(SUMPRODUCT(J145:J154,$AD$109:$AD$118)+SUMPRODUCT(J145:J154,$AE$109:$AE$118,BE109:BE118))/(SUMPRODUCT($AD$109:$AD$118*(J$145:J$154&lt;&gt;0))+SUMPRODUCT($AE$109:$AE$118*BE109:BE118*(J$145:J$154&lt;&gt;0)))</f>
        <v>279.8912888515174</v>
      </c>
      <c r="K158" s="323" cm="1">
        <f t="array" aca="1" ref="K158" ca="1">(SUMPRODUCT(K145:K154,$AD$109:$AD$118)+SUMPRODUCT(K145:K154,$AE$109:$AE$118,BF109:BF118))/(SUMPRODUCT($AD$109:$AD$118*(K$145:K$154&lt;&gt;0))+SUMPRODUCT($AE$109:$AE$118*BF109:BF118*(K$145:K$154&lt;&gt;0)))</f>
        <v>448.06138728440214</v>
      </c>
      <c r="L158" s="323" cm="1">
        <f t="array" aca="1" ref="L158" ca="1">(SUMPRODUCT(L145:L154,$AD$109:$AD$118)+SUMPRODUCT(L145:L154,$AE$109:$AE$118,BG109:BG118))/(SUMPRODUCT($AD$109:$AD$118*(L$145:L$154&lt;&gt;0))+SUMPRODUCT($AE$109:$AE$118*BG109:BG118*(L$145:L$154&lt;&gt;0)))</f>
        <v>339.32086060243074</v>
      </c>
      <c r="M158" s="323" cm="1">
        <f t="array" aca="1" ref="M158" ca="1">(SUMPRODUCT(M145:M154,$AD$109:$AD$118)+SUMPRODUCT(M145:M154,$AE$109:$AE$118,BH109:BH118))/(SUMPRODUCT($AD$109:$AD$118*(M$145:M$154&lt;&gt;0))+SUMPRODUCT($AE$109:$AE$118*BH109:BH118*(M$145:M$154&lt;&gt;0)))</f>
        <v>134.87543370220433</v>
      </c>
      <c r="N158" s="323" cm="1">
        <f t="array" aca="1" ref="N158" ca="1">(SUMPRODUCT(N145:N154,$AD$109:$AD$118)+SUMPRODUCT(N145:N154,$AE$109:$AE$118,BI109:BI118))/(SUMPRODUCT($AD$109:$AD$118*(N$145:N$154&lt;&gt;0))+SUMPRODUCT($AE$109:$AE$118*BI109:BI118*(N$145:N$154&lt;&gt;0)))</f>
        <v>134.80816940342527</v>
      </c>
      <c r="O158" s="323" cm="1">
        <f t="array" aca="1" ref="O158" ca="1">(SUMPRODUCT(O145:O154,$AD$109:$AD$118)+SUMPRODUCT(O145:O154,$AE$109:$AE$118,BJ109:BJ118))/(SUMPRODUCT($AD$109:$AD$118*(O$145:O$154&lt;&gt;0))+SUMPRODUCT($AE$109:$AE$118*BJ109:BJ118*(O$145:O$154&lt;&gt;0)))</f>
        <v>157.0323897638383</v>
      </c>
      <c r="P158" s="323" cm="1">
        <f t="array" aca="1" ref="P158" ca="1">(SUMPRODUCT(P145:P154,$AD$109:$AD$118)+SUMPRODUCT(P145:P154,$AE$109:$AE$118,BK109:BK118))/(SUMPRODUCT($AD$109:$AD$118*(P$145:P$154&lt;&gt;0))+SUMPRODUCT($AE$109:$AE$118*BK109:BK118*(P$145:P$154&lt;&gt;0)))</f>
        <v>189.3289563662162</v>
      </c>
      <c r="Q158" s="323" cm="1">
        <f t="array" aca="1" ref="Q158" ca="1">(SUMPRODUCT(Q145:Q154,$AD$109:$AD$118)+SUMPRODUCT(Q145:Q154,$AE$109:$AE$118,BL109:BL118))/(SUMPRODUCT($AD$109:$AD$118*(Q$145:Q$154&lt;&gt;0))+SUMPRODUCT($AE$109:$AE$118*BL109:BL118*(Q$145:Q$154&lt;&gt;0)))</f>
        <v>219.86389206300984</v>
      </c>
      <c r="R158" s="323" cm="1">
        <f t="array" aca="1" ref="R158" ca="1">(SUMPRODUCT(R145:R154,$AD$109:$AD$118)+SUMPRODUCT(R145:R154,$AE$109:$AE$118,BM109:BM118))/(SUMPRODUCT($AD$109:$AD$118*(R$145:R$154&lt;&gt;0))+SUMPRODUCT($AE$109:$AE$118*BM109:BM118*(R$145:R$154&lt;&gt;0)))</f>
        <v>229.84646719465397</v>
      </c>
      <c r="S158" s="323" cm="1">
        <f t="array" aca="1" ref="S158" ca="1">(SUMPRODUCT(S145:S154,$AD$109:$AD$118)+SUMPRODUCT(S145:S154,$AE$109:$AE$118,BN109:BN118))/(SUMPRODUCT($AD$109:$AD$118*(S$145:S$154&lt;&gt;0))+SUMPRODUCT($AE$109:$AE$118*BN109:BN118*(S$145:S$154&lt;&gt;0)))</f>
        <v>241.59067323188225</v>
      </c>
      <c r="T158" s="323" cm="1">
        <f t="array" aca="1" ref="T158" ca="1">(SUMPRODUCT(T145:T154,$AD$109:$AD$118)+SUMPRODUCT(T145:T154,$AE$109:$AE$118,BO109:BO118))/(SUMPRODUCT($AD$109:$AD$118*(T$145:T$154&lt;&gt;0))+SUMPRODUCT($AE$109:$AE$118*BO109:BO118*(T$145:T$154&lt;&gt;0)))</f>
        <v>114.63312052164015</v>
      </c>
      <c r="U158" s="323" cm="1">
        <f t="array" aca="1" ref="U158" ca="1">(SUMPRODUCT(U145:U154,$AD$109:$AD$118)+SUMPRODUCT(U145:U154,$AE$109:$AE$118,BP109:BP118))/(SUMPRODUCT($AD$109:$AD$118*(U$145:U$154&lt;&gt;0))+SUMPRODUCT($AE$109:$AE$118*BP109:BP118*(U$145:U$154&lt;&gt;0)))</f>
        <v>164.50345132902339</v>
      </c>
      <c r="V158" s="323" cm="1">
        <f t="array" aca="1" ref="V158" ca="1">(SUMPRODUCT(V145:V154,$AD$109:$AD$118)+SUMPRODUCT(V145:V154,$AE$109:$AE$118,BQ109:BQ118))/(SUMPRODUCT($AD$109:$AD$118*(V$145:V$154&lt;&gt;0))+SUMPRODUCT($AE$109:$AE$118*BQ109:BQ118*(V$145:V$154&lt;&gt;0)))</f>
        <v>210.09001072969787</v>
      </c>
      <c r="W158" s="323" cm="1">
        <f t="array" aca="1" ref="W158" ca="1">(SUMPRODUCT(W145:W154,$AD$109:$AD$118)+SUMPRODUCT(W145:W154,$AE$109:$AE$118,BR109:BR118))/(SUMPRODUCT($AD$109:$AD$118*(W$145:W$154&lt;&gt;0))+SUMPRODUCT($AE$109:$AE$118*BR109:BR118*(W$145:W$154&lt;&gt;0)))</f>
        <v>239.77361624456677</v>
      </c>
      <c r="X158" s="323" cm="1">
        <f t="array" aca="1" ref="X158" ca="1">(SUMPRODUCT(X145:X154,$AD$109:$AD$118)+SUMPRODUCT(X145:X154,$AE$109:$AE$118,BS109:BS118))/(SUMPRODUCT($AD$109:$AD$118*(X$145:X$154&lt;&gt;0))+SUMPRODUCT($AE$109:$AE$118*BS109:BS118*(X$145:X$154&lt;&gt;0)))</f>
        <v>260.9253027884908</v>
      </c>
      <c r="Y158" s="323" cm="1">
        <f t="array" aca="1" ref="Y158" ca="1">(SUMPRODUCT(Y145:Y154,$AD$109:$AD$118)+SUMPRODUCT(Y145:Y154,$AE$109:$AE$118,BT109:BT118))/(SUMPRODUCT($AD$109:$AD$118*(Y$145:Y$154&lt;&gt;0))+SUMPRODUCT($AE$109:$AE$118*BT109:BT118*(Y$145:Y$154&lt;&gt;0)))</f>
        <v>275.27276745940884</v>
      </c>
      <c r="Z158" s="323" cm="1">
        <f t="array" aca="1" ref="Z158" ca="1">(SUMPRODUCT(Z145:Z154,$AD$109:$AD$118)+SUMPRODUCT(Z145:Z154,$AE$109:$AE$118,BU109:BU118))/(SUMPRODUCT($AD$109:$AD$118*(Z$145:Z$154&lt;&gt;0))+SUMPRODUCT($AE$109:$AE$118*BU109:BU118*(Z$145:Z$154&lt;&gt;0)))</f>
        <v>299.53673535119503</v>
      </c>
      <c r="AA158" s="323" cm="1">
        <f t="array" aca="1" ref="AA158" ca="1">(SUMPRODUCT(AA145:AA154,$AD$109:$AD$118)+SUMPRODUCT(AA145:AA154,$AE$109:$AE$118,BV109:BV118))/(SUMPRODUCT($AD$109:$AD$118*(AA$145:AA$154&lt;&gt;0))+SUMPRODUCT($AE$109:$AE$118*BV109:BV118*(AA$145:AA$154&lt;&gt;0)))</f>
        <v>321.03993574734272</v>
      </c>
      <c r="AB158" s="323" cm="1">
        <f t="array" aca="1" ref="AB158" ca="1">(SUMPRODUCT(AB145:AB154,$AD$109:$AD$118)+SUMPRODUCT(AB145:AB154,$AE$109:$AE$118,BW109:BW118))/(SUMPRODUCT($AD$109:$AD$118*(AB$145:AB$154&lt;&gt;0))+SUMPRODUCT($AE$109:$AE$118*BW109:BW118*(AB$145:AB$154&lt;&gt;0)))</f>
        <v>334.70211047966768</v>
      </c>
      <c r="AC158" s="323" cm="1">
        <f t="array" aca="1" ref="AC158" ca="1">(SUMPRODUCT(AC145:AC154,$AD$109:$AD$118)+SUMPRODUCT(AC145:AC154,$AE$109:$AE$118,BX109:BX118))/(SUMPRODUCT($AD$109:$AD$118*(AC$145:AC$154&lt;&gt;0))+SUMPRODUCT($AE$109:$AE$118*BX109:BX118*(AC$145:AC$154&lt;&gt;0)))</f>
        <v>362.48909066656915</v>
      </c>
    </row>
    <row r="159" spans="2:43" ht="15.75" thickBot="1">
      <c r="C159" s="29"/>
      <c r="D159" s="321" t="s">
        <v>210</v>
      </c>
      <c r="E159" s="455">
        <f ca="1">E158*E157</f>
        <v>929603.29080780293</v>
      </c>
      <c r="F159" s="455">
        <f ca="1">F158*F157</f>
        <v>4036329.5289442558</v>
      </c>
      <c r="G159" s="455">
        <f t="shared" ref="G159:AC159" ca="1" si="62">G158*G157</f>
        <v>2389314.4716363414</v>
      </c>
      <c r="H159" s="455">
        <f t="shared" ca="1" si="62"/>
        <v>923092.36867600691</v>
      </c>
      <c r="I159" s="455">
        <f t="shared" ca="1" si="62"/>
        <v>0</v>
      </c>
      <c r="J159" s="455">
        <f t="shared" ca="1" si="62"/>
        <v>178766.1827767397</v>
      </c>
      <c r="K159" s="455">
        <f t="shared" ca="1" si="62"/>
        <v>2994728.9530779612</v>
      </c>
      <c r="L159" s="455">
        <f t="shared" ca="1" si="62"/>
        <v>0</v>
      </c>
      <c r="M159" s="455">
        <f ca="1">M158*M157</f>
        <v>979145.13786252856</v>
      </c>
      <c r="N159" s="455">
        <f t="shared" ca="1" si="62"/>
        <v>624920.65952343086</v>
      </c>
      <c r="O159" s="455">
        <f t="shared" ca="1" si="62"/>
        <v>0</v>
      </c>
      <c r="P159" s="455">
        <f t="shared" ca="1" si="62"/>
        <v>0</v>
      </c>
      <c r="Q159" s="455">
        <f t="shared" ca="1" si="62"/>
        <v>0</v>
      </c>
      <c r="R159" s="455">
        <f t="shared" ca="1" si="62"/>
        <v>546727.28719663725</v>
      </c>
      <c r="S159" s="455">
        <f t="shared" ca="1" si="62"/>
        <v>0</v>
      </c>
      <c r="T159" s="455">
        <f t="shared" ca="1" si="62"/>
        <v>2455761.8411453897</v>
      </c>
      <c r="U159" s="455">
        <f t="shared" ca="1" si="62"/>
        <v>182846.07966256328</v>
      </c>
      <c r="V159" s="455">
        <f t="shared" ca="1" si="62"/>
        <v>35028.517578973217</v>
      </c>
      <c r="W159" s="455">
        <f t="shared" ca="1" si="62"/>
        <v>53095.229807580567</v>
      </c>
      <c r="X159" s="455">
        <f t="shared" ca="1" si="62"/>
        <v>509467.87348254764</v>
      </c>
      <c r="Y159" s="455">
        <f t="shared" ca="1" si="62"/>
        <v>30405.528802496432</v>
      </c>
      <c r="Z159" s="455">
        <f t="shared" ca="1" si="62"/>
        <v>16541.317136299025</v>
      </c>
      <c r="AA159" s="455">
        <f t="shared" ca="1" si="62"/>
        <v>7069.9414650279741</v>
      </c>
      <c r="AB159" s="455">
        <f t="shared" ca="1" si="62"/>
        <v>36846.351236375143</v>
      </c>
      <c r="AC159" s="455">
        <f t="shared" ca="1" si="62"/>
        <v>103142.28336917481</v>
      </c>
    </row>
    <row r="160" spans="2:43">
      <c r="C160" s="29"/>
      <c r="D160" s="454" t="s">
        <v>211</v>
      </c>
      <c r="E160" s="456">
        <f ca="1">SUMIFS($J$53:$J$98,$F$53:$F$98,E144,$D$53:$D$98,"Exit",$E$53:$E$98,"FZK")</f>
        <v>2.1480106281567006</v>
      </c>
      <c r="F160" s="457">
        <f t="shared" ref="F160:AC160" ca="1" si="63">SUMIFS($J$53:$J$98,$F$53:$F$98,F144,$D$53:$D$98,"Exit",$E$53:$E$98,"FZK")</f>
        <v>4.3074672467522168</v>
      </c>
      <c r="G160" s="457">
        <f t="shared" ca="1" si="63"/>
        <v>4.3074672467522168</v>
      </c>
      <c r="H160" s="457">
        <f t="shared" ca="1" si="63"/>
        <v>2.1434083293827535</v>
      </c>
      <c r="I160" s="457">
        <f t="shared" ca="1" si="63"/>
        <v>0</v>
      </c>
      <c r="J160" s="457">
        <f t="shared" ca="1" si="63"/>
        <v>3.7353308470594149</v>
      </c>
      <c r="K160" s="457">
        <f t="shared" ca="1" si="63"/>
        <v>5.9796699217300029</v>
      </c>
      <c r="L160" s="457">
        <f ca="1">SUMIFS($J$53:$J$98,$F$53:$F$98,L144,$D$53:$D$98,"Exit",$E$53:$E$98,"FZK")</f>
        <v>2.1537336233761084</v>
      </c>
      <c r="M160" s="457">
        <f ca="1">SUMIFS($J$53:$J$98,$F$53:$F$98,M144,$D$53:$D$98,"Exit",$E$53:$E$98,"FZK")</f>
        <v>1.0740053140783503</v>
      </c>
      <c r="N160" s="457">
        <f ca="1">SUMIFS($J$53:$J$98,$F$53:$F$98,N144,$D$53:$D$98,"Exit",$E$53:$E$98,"FZK")</f>
        <v>1.26</v>
      </c>
      <c r="O160" s="457">
        <f t="shared" ca="1" si="63"/>
        <v>1.26</v>
      </c>
      <c r="P160" s="457">
        <f t="shared" ca="1" si="63"/>
        <v>1.26</v>
      </c>
      <c r="Q160" s="457">
        <f t="shared" ca="1" si="63"/>
        <v>1.26</v>
      </c>
      <c r="R160" s="457">
        <f t="shared" ca="1" si="63"/>
        <v>1.26</v>
      </c>
      <c r="S160" s="457">
        <f t="shared" ca="1" si="63"/>
        <v>1.26</v>
      </c>
      <c r="T160" s="457">
        <f t="shared" ca="1" si="63"/>
        <v>1.26</v>
      </c>
      <c r="U160" s="457">
        <f t="shared" ca="1" si="63"/>
        <v>1.26</v>
      </c>
      <c r="V160" s="457">
        <f t="shared" ca="1" si="63"/>
        <v>1.26</v>
      </c>
      <c r="W160" s="457">
        <f t="shared" ca="1" si="63"/>
        <v>1.26</v>
      </c>
      <c r="X160" s="457">
        <f t="shared" ca="1" si="63"/>
        <v>1.26</v>
      </c>
      <c r="Y160" s="457">
        <f t="shared" ca="1" si="63"/>
        <v>1.26</v>
      </c>
      <c r="Z160" s="457">
        <f t="shared" ca="1" si="63"/>
        <v>4.626999160188296</v>
      </c>
      <c r="AA160" s="457">
        <f t="shared" ca="1" si="63"/>
        <v>4.626999160188296</v>
      </c>
      <c r="AB160" s="457">
        <f t="shared" ca="1" si="63"/>
        <v>4.626999160188296</v>
      </c>
      <c r="AC160" s="458">
        <f t="shared" ca="1" si="63"/>
        <v>4.626999160188296</v>
      </c>
    </row>
    <row r="161" spans="2:29" ht="15.75" thickBot="1">
      <c r="C161" s="29"/>
      <c r="D161" s="454" t="s">
        <v>212</v>
      </c>
      <c r="E161" s="459">
        <f>SUMIFS($J$53:$J$98,$F$53:$F$98,E144,$D$53:$D$98,"Exit",$E$53:$E$98,"DZK")</f>
        <v>0</v>
      </c>
      <c r="F161" s="460">
        <f>SUMIFS($J$53:$J$98,$F$53:$F$98,F144,$D$53:$D$98,"Exit",$E$53:$E$98,"DZK")</f>
        <v>0</v>
      </c>
      <c r="G161" s="460">
        <f t="shared" ref="G161:AC161" ca="1" si="64">SUMIFS($J$53:$J$98,$F$53:$F$98,G144,$D$53:$D$98,"Exit",$E$53:$E$98,"DZK")</f>
        <v>3.8767205220769951</v>
      </c>
      <c r="H161" s="460">
        <f t="shared" si="64"/>
        <v>0</v>
      </c>
      <c r="I161" s="460">
        <f t="shared" si="64"/>
        <v>0</v>
      </c>
      <c r="J161" s="460">
        <f t="shared" si="64"/>
        <v>0</v>
      </c>
      <c r="K161" s="460">
        <f t="shared" si="64"/>
        <v>0</v>
      </c>
      <c r="L161" s="460">
        <f t="shared" si="64"/>
        <v>0</v>
      </c>
      <c r="M161" s="460">
        <f t="shared" si="64"/>
        <v>0</v>
      </c>
      <c r="N161" s="460">
        <f t="shared" ca="1" si="64"/>
        <v>1.1340000000000001</v>
      </c>
      <c r="O161" s="460">
        <f t="shared" si="64"/>
        <v>0</v>
      </c>
      <c r="P161" s="460">
        <f t="shared" si="64"/>
        <v>0</v>
      </c>
      <c r="Q161" s="460">
        <f t="shared" si="64"/>
        <v>0</v>
      </c>
      <c r="R161" s="460">
        <f ca="1">SUMIFS($J$53:$J$98,$F$53:$F$98,R144,$D$53:$D$98,"Exit",$E$53:$E$98,"DZK")</f>
        <v>1.1340000000000001</v>
      </c>
      <c r="S161" s="460">
        <f t="shared" si="64"/>
        <v>0</v>
      </c>
      <c r="T161" s="460">
        <f t="shared" si="64"/>
        <v>0</v>
      </c>
      <c r="U161" s="460">
        <f t="shared" si="64"/>
        <v>0</v>
      </c>
      <c r="V161" s="460">
        <f t="shared" si="64"/>
        <v>0</v>
      </c>
      <c r="W161" s="460">
        <f t="shared" si="64"/>
        <v>0</v>
      </c>
      <c r="X161" s="460">
        <f t="shared" si="64"/>
        <v>0</v>
      </c>
      <c r="Y161" s="460">
        <f t="shared" si="64"/>
        <v>0</v>
      </c>
      <c r="Z161" s="460">
        <f t="shared" si="64"/>
        <v>0</v>
      </c>
      <c r="AA161" s="460">
        <f t="shared" si="64"/>
        <v>0</v>
      </c>
      <c r="AB161" s="460">
        <f t="shared" si="64"/>
        <v>0</v>
      </c>
      <c r="AC161" s="461">
        <f t="shared" si="64"/>
        <v>0</v>
      </c>
    </row>
    <row r="162" spans="2:29">
      <c r="E162" s="5"/>
      <c r="F162" s="5"/>
      <c r="G162" s="5"/>
      <c r="J162" s="5"/>
      <c r="K162" s="5"/>
      <c r="L162" s="5"/>
      <c r="M162" s="5"/>
      <c r="N162" s="5"/>
      <c r="O162" s="5"/>
      <c r="P162" s="5"/>
      <c r="Q162" s="5"/>
      <c r="R162" s="5"/>
      <c r="S162" s="5"/>
      <c r="T162" s="5"/>
      <c r="U162" s="5"/>
      <c r="V162" s="5"/>
      <c r="W162" s="5"/>
      <c r="X162" s="5"/>
      <c r="Y162" s="5"/>
      <c r="Z162" s="5"/>
      <c r="AA162" s="5"/>
      <c r="AB162" s="5"/>
      <c r="AC162" s="5"/>
    </row>
    <row r="163" spans="2:29">
      <c r="E163" s="5" t="s">
        <v>352</v>
      </c>
      <c r="F163" s="5"/>
      <c r="G163" s="5" t="s">
        <v>353</v>
      </c>
      <c r="J163" s="5"/>
      <c r="K163" s="5"/>
      <c r="L163" s="5"/>
      <c r="M163" s="5"/>
      <c r="N163" s="5"/>
      <c r="O163" s="5"/>
      <c r="P163" s="5"/>
      <c r="Q163" s="5"/>
      <c r="R163" s="5"/>
      <c r="S163" s="5"/>
      <c r="T163" s="5"/>
      <c r="U163" s="5"/>
      <c r="V163" s="5"/>
      <c r="W163" s="5"/>
      <c r="X163" s="5"/>
      <c r="Y163" s="5"/>
      <c r="Z163" s="5"/>
      <c r="AA163" s="5"/>
      <c r="AB163" s="5"/>
      <c r="AC163" s="5"/>
    </row>
    <row r="164" spans="2:29">
      <c r="B164" s="52" t="s">
        <v>19</v>
      </c>
      <c r="C164" s="23"/>
      <c r="D164" s="24" t="s">
        <v>216</v>
      </c>
      <c r="E164" s="25">
        <f ca="1">SUMPRODUCT(AJ145:AJ154,$AO$145:$AO$154)*1000</f>
        <v>17123045.96323825</v>
      </c>
      <c r="F164" s="42">
        <f ca="1">E164/(E164+E165)</f>
        <v>0.25603084085917138</v>
      </c>
      <c r="G164" s="5">
        <v>33633481.733204231</v>
      </c>
      <c r="H164" s="5">
        <f t="shared" ref="H164:H169" ca="1" si="65">G164-E164</f>
        <v>16510435.76996598</v>
      </c>
    </row>
    <row r="165" spans="2:29">
      <c r="B165" s="52" t="s">
        <v>19</v>
      </c>
      <c r="C165" s="23"/>
      <c r="D165" s="24" t="s">
        <v>217</v>
      </c>
      <c r="E165" s="27">
        <f ca="1">SUMPRODUCT(AK145:AK154,$AO$145:$AO$154)*1000</f>
        <v>49755795.2957986</v>
      </c>
      <c r="F165" s="42">
        <f ca="1">1-F164</f>
        <v>0.74396915914082862</v>
      </c>
      <c r="G165" s="5">
        <v>83641967.511411428</v>
      </c>
      <c r="H165" s="5">
        <f t="shared" ca="1" si="65"/>
        <v>33886172.215612829</v>
      </c>
    </row>
    <row r="166" spans="2:29">
      <c r="B166" s="52" t="s">
        <v>19</v>
      </c>
      <c r="C166" s="23"/>
      <c r="D166" s="24" t="s">
        <v>218</v>
      </c>
      <c r="E166" s="25">
        <f ca="1">SUMPRODUCT($E$155:$AC$155*$E$160:$AC$160*($E$142:$AC$142="Intra"))+SUMPRODUCT($E$156:$AC$156*$E$161:$AC$161*($E$142:$AC$142="Intra"))</f>
        <v>41619242.2687172</v>
      </c>
      <c r="F166" s="42">
        <f ca="1">E166/(E166+E167)</f>
        <v>0.20838601532643006</v>
      </c>
      <c r="G166" s="5">
        <v>20990369.854642462</v>
      </c>
      <c r="H166" s="5">
        <f t="shared" ca="1" si="65"/>
        <v>-20628872.414074738</v>
      </c>
    </row>
    <row r="167" spans="2:29">
      <c r="B167" s="52" t="s">
        <v>19</v>
      </c>
      <c r="C167" s="34"/>
      <c r="D167" s="35" t="s">
        <v>219</v>
      </c>
      <c r="E167" s="25">
        <f ca="1">SUMPRODUCT($E$155:$AC$155*$E$160:$AC$160*($E$142:$AC$142="Cross"))+SUMPRODUCT($E$156:$AC$156*$E$161:$AC$161*($E$142:$AC$142="Cross"))</f>
        <v>158102616.24238288</v>
      </c>
      <c r="F167" s="42">
        <f ca="1">1-F166</f>
        <v>0.79161398467356991</v>
      </c>
      <c r="G167" s="5">
        <v>111734180.90074188</v>
      </c>
      <c r="H167" s="5">
        <f t="shared" ca="1" si="65"/>
        <v>-46368435.341641009</v>
      </c>
    </row>
    <row r="168" spans="2:29">
      <c r="B168" s="52" t="s">
        <v>19</v>
      </c>
      <c r="C168" s="38"/>
      <c r="D168" s="39" t="s">
        <v>64</v>
      </c>
      <c r="E168" s="36">
        <f ca="1">E164+E166</f>
        <v>58742288.231955454</v>
      </c>
      <c r="F168" s="9">
        <f ca="1">E168/(E168+E169)</f>
        <v>0.22033808719408102</v>
      </c>
      <c r="G168" s="5">
        <v>54623851.587846696</v>
      </c>
      <c r="H168" s="5">
        <f t="shared" ca="1" si="65"/>
        <v>-4118436.6441087574</v>
      </c>
    </row>
    <row r="169" spans="2:29">
      <c r="B169" s="52" t="s">
        <v>19</v>
      </c>
      <c r="C169" s="37"/>
      <c r="D169" s="30" t="s">
        <v>65</v>
      </c>
      <c r="E169" s="26">
        <f ca="1">E165+E167</f>
        <v>207858411.53818148</v>
      </c>
      <c r="F169" s="54">
        <f ca="1">1-F168</f>
        <v>0.77966191280591901</v>
      </c>
      <c r="G169" s="5">
        <v>195376148.4121533</v>
      </c>
      <c r="H169" s="5">
        <f t="shared" ca="1" si="65"/>
        <v>-12482263.12602818</v>
      </c>
    </row>
    <row r="170" spans="2:29">
      <c r="C170" s="22"/>
      <c r="D170" s="22"/>
      <c r="E170" s="256">
        <f ca="1">E169+E168-costs_GCA_capa-costs_TAG_capa</f>
        <v>0</v>
      </c>
      <c r="G170" s="5"/>
    </row>
    <row r="171" spans="2:29">
      <c r="B171" s="52" t="s">
        <v>220</v>
      </c>
      <c r="C171" s="34"/>
      <c r="D171" s="35" t="s">
        <v>66</v>
      </c>
      <c r="E171" s="33">
        <f ca="1">SUM(AL145:AL154)</f>
        <v>2282350.5231236652</v>
      </c>
      <c r="F171" s="9">
        <f ca="1">E171/(E171+E174)</f>
        <v>0.15826085218874131</v>
      </c>
      <c r="G171" s="5"/>
      <c r="J171" s="18"/>
      <c r="K171" s="21" t="s">
        <v>74</v>
      </c>
      <c r="L171" s="16"/>
    </row>
    <row r="172" spans="2:29">
      <c r="B172" s="52" t="s">
        <v>220</v>
      </c>
      <c r="C172" s="23"/>
      <c r="D172" s="24" t="s">
        <v>67</v>
      </c>
      <c r="E172" s="33">
        <f ca="1">SUMIFS($E$159:$AC$159,$E$142:$AC$142,"Intra")</f>
        <v>4601852.9104064954</v>
      </c>
      <c r="F172" s="9">
        <f ca="1">E172/(E172+E175)</f>
        <v>0.2701754283919201</v>
      </c>
      <c r="G172" s="5"/>
      <c r="J172" s="28" t="s">
        <v>69</v>
      </c>
      <c r="K172" s="46">
        <f ca="1">E168/E173</f>
        <v>8.5329099872100826</v>
      </c>
      <c r="L172" s="15" t="s">
        <v>80</v>
      </c>
    </row>
    <row r="173" spans="2:29">
      <c r="B173" s="52" t="s">
        <v>220</v>
      </c>
      <c r="C173" s="326"/>
      <c r="D173" s="314" t="s">
        <v>68</v>
      </c>
      <c r="E173" s="26">
        <f ca="1">E171+E172</f>
        <v>6884203.4335301612</v>
      </c>
      <c r="F173" s="9"/>
      <c r="G173" s="5"/>
      <c r="J173" s="28" t="s">
        <v>71</v>
      </c>
      <c r="K173" s="46">
        <f ca="1">E169/E176</f>
        <v>8.4598194324334148</v>
      </c>
      <c r="L173" s="15" t="s">
        <v>80</v>
      </c>
    </row>
    <row r="174" spans="2:29">
      <c r="B174" s="52" t="s">
        <v>220</v>
      </c>
      <c r="C174" s="327"/>
      <c r="D174" s="315" t="s">
        <v>70</v>
      </c>
      <c r="E174" s="27">
        <f ca="1">SUM(AM145:AM154)</f>
        <v>12139096.673443573</v>
      </c>
      <c r="F174" s="9">
        <f ca="1">1-F171</f>
        <v>0.84173914781125869</v>
      </c>
      <c r="G174" s="5"/>
      <c r="J174" s="28" t="s">
        <v>81</v>
      </c>
      <c r="K174" s="19">
        <f ca="1">2*(ABS(K172-K173))/(K172+K173)</f>
        <v>8.6025679538185972E-3</v>
      </c>
      <c r="L174" s="16"/>
    </row>
    <row r="175" spans="2:29">
      <c r="B175" s="52" t="s">
        <v>220</v>
      </c>
      <c r="C175" s="327"/>
      <c r="D175" s="315" t="s">
        <v>72</v>
      </c>
      <c r="E175" s="33">
        <f ca="1">SUMIFS($E$159:$AC$159,$E$142:$AC$142,"Cross")</f>
        <v>12430979.933781635</v>
      </c>
      <c r="F175" s="9">
        <f ca="1">1-F172</f>
        <v>0.7298245716080799</v>
      </c>
      <c r="G175" s="5"/>
      <c r="J175" s="1065" t="str">
        <f ca="1">IF(K174&lt;0.1,"justification not required","justification required!")</f>
        <v>justification not required</v>
      </c>
      <c r="K175" s="1066"/>
      <c r="L175" s="16"/>
    </row>
    <row r="176" spans="2:29">
      <c r="B176" s="52" t="s">
        <v>220</v>
      </c>
      <c r="C176" s="328"/>
      <c r="D176" s="313" t="s">
        <v>73</v>
      </c>
      <c r="E176" s="26">
        <f ca="1">E174+E175</f>
        <v>24570076.607225209</v>
      </c>
      <c r="G176" s="5"/>
    </row>
    <row r="177" spans="1:48">
      <c r="E177" s="256">
        <f ca="1">E173+E176-SUM(E159:AC159,AL145:AM154)</f>
        <v>0</v>
      </c>
    </row>
    <row r="179" spans="1:48" ht="18.75">
      <c r="A179" s="60" t="s">
        <v>257</v>
      </c>
      <c r="B179" s="60"/>
      <c r="C179" s="60"/>
      <c r="D179" s="60"/>
      <c r="E179" s="60"/>
      <c r="F179" s="60"/>
      <c r="G179" s="60"/>
      <c r="H179" s="61"/>
      <c r="I179" s="61"/>
      <c r="J179" s="60"/>
      <c r="K179" s="60"/>
      <c r="L179" s="60"/>
      <c r="M179" s="60"/>
      <c r="N179" s="60"/>
      <c r="O179" s="60"/>
      <c r="P179" s="60"/>
      <c r="Q179" s="60"/>
      <c r="R179" s="60"/>
      <c r="S179" s="60"/>
      <c r="T179" s="60"/>
      <c r="U179" s="60"/>
      <c r="V179" s="60"/>
      <c r="W179" s="60"/>
      <c r="X179" s="60"/>
      <c r="Y179" s="60"/>
      <c r="Z179" s="60"/>
      <c r="AA179" s="60"/>
      <c r="AB179" s="60"/>
      <c r="AC179" s="60"/>
      <c r="AD179" s="60"/>
      <c r="AE179" s="60"/>
      <c r="AF179" s="60"/>
      <c r="AG179" s="60"/>
      <c r="AH179" s="60"/>
      <c r="AI179" s="60"/>
      <c r="AJ179" s="60"/>
      <c r="AK179" s="60"/>
      <c r="AL179" s="60"/>
      <c r="AM179" s="60"/>
      <c r="AN179" s="60"/>
      <c r="AO179" s="60"/>
      <c r="AP179" s="60"/>
      <c r="AQ179" s="60"/>
      <c r="AR179" s="60"/>
      <c r="AS179" s="60"/>
      <c r="AT179" s="60"/>
      <c r="AU179" s="60"/>
      <c r="AV179" s="60"/>
    </row>
    <row r="181" spans="1:48">
      <c r="B181" s="13" t="s">
        <v>276</v>
      </c>
      <c r="C181" s="519">
        <f ca="1">C4</f>
        <v>2025</v>
      </c>
    </row>
    <row r="182" spans="1:48" outlineLevel="1">
      <c r="B182" s="13"/>
      <c r="C182" s="432"/>
    </row>
    <row r="183" spans="1:48" outlineLevel="1">
      <c r="B183" s="13"/>
      <c r="C183" s="13"/>
    </row>
    <row r="184" spans="1:48" outlineLevel="1">
      <c r="B184" s="13"/>
      <c r="C184" s="13"/>
      <c r="D184" s="55" t="s">
        <v>0</v>
      </c>
      <c r="E184" s="55" t="s">
        <v>13</v>
      </c>
    </row>
    <row r="185" spans="1:48" outlineLevel="1">
      <c r="B185" s="13" t="s">
        <v>21</v>
      </c>
      <c r="C185" s="13" t="s">
        <v>22</v>
      </c>
      <c r="D185" s="434">
        <f ca="1">(OFFSET(Tariff_SimCalculation!O106,,$C$181-rpm_start_year)+OFFSET(Tariff_SimCalculation!O107,,$C$181-rpm_start_year))/1000</f>
        <v>49082237.037014388</v>
      </c>
      <c r="E185" s="434">
        <f ca="1">OFFSET(Tariff_SimCalculation!O122,,$C$181-rpm_start_year)/1000</f>
        <v>10071000</v>
      </c>
      <c r="G185" s="5"/>
    </row>
    <row r="186" spans="1:48" outlineLevel="1">
      <c r="B186" s="13" t="s">
        <v>21</v>
      </c>
      <c r="C186" s="13" t="s">
        <v>23</v>
      </c>
      <c r="D186" s="434">
        <f ca="1">(OFFSET(Tariff_SimCalculation!O108,,$C$181-rpm_start_year))/1000</f>
        <v>56380240.171232864</v>
      </c>
      <c r="E186" s="434"/>
      <c r="G186" s="5"/>
      <c r="J186" s="433"/>
    </row>
    <row r="187" spans="1:48" outlineLevel="1">
      <c r="B187" s="13" t="s">
        <v>21</v>
      </c>
      <c r="C187" s="13" t="s">
        <v>24</v>
      </c>
      <c r="D187" s="434">
        <f ca="1">(OFFSET(Tariff_SimCalculation!O109,,$C$181-rpm_start_year)+OFFSET(Tariff_SimCalculation!O110,,$C$181-rpm_start_year))/1000</f>
        <v>19733489.94966165</v>
      </c>
      <c r="E187" s="434"/>
      <c r="G187" s="5"/>
    </row>
    <row r="188" spans="1:48" outlineLevel="1">
      <c r="B188" s="13" t="s">
        <v>21</v>
      </c>
      <c r="C188" s="13" t="s">
        <v>39</v>
      </c>
      <c r="D188" s="434"/>
      <c r="E188" s="434"/>
      <c r="G188" s="5"/>
    </row>
    <row r="189" spans="1:48" outlineLevel="1">
      <c r="B189" s="13" t="s">
        <v>21</v>
      </c>
      <c r="C189" s="13" t="s">
        <v>34</v>
      </c>
      <c r="D189" s="434"/>
      <c r="E189" s="434"/>
      <c r="G189" s="5"/>
    </row>
    <row r="190" spans="1:48" outlineLevel="1">
      <c r="B190" s="13" t="s">
        <v>21</v>
      </c>
      <c r="C190" s="13" t="s">
        <v>33</v>
      </c>
      <c r="D190" s="434"/>
      <c r="E190" s="434"/>
      <c r="G190" s="5"/>
    </row>
    <row r="191" spans="1:48" outlineLevel="1">
      <c r="B191" s="13" t="s">
        <v>21</v>
      </c>
      <c r="C191" s="13" t="s">
        <v>20</v>
      </c>
      <c r="D191" s="434"/>
      <c r="E191" s="434">
        <f ca="1">OFFSET(Tariff_SimCalculation!O125,,$C$181-rpm_start_year)/1000</f>
        <v>56898421.143605702</v>
      </c>
      <c r="G191" s="5"/>
    </row>
    <row r="192" spans="1:48" outlineLevel="1">
      <c r="B192" s="13" t="s">
        <v>21</v>
      </c>
      <c r="C192" s="13" t="s">
        <v>56</v>
      </c>
      <c r="D192" s="434">
        <f ca="1">((OFFSET(Tariff_SimCalculation!H119,,$C$181-rpm_start_year))/1000)*(OFFSET(Tariff_SimCalculation!H73,,$C$181-rpm_start_year)/SUM(OFFSET(Tariff_SimCalculation!H73:H74,,$C$181-rpm_start_year)))</f>
        <v>0</v>
      </c>
      <c r="E192" s="434"/>
      <c r="G192" s="5"/>
    </row>
    <row r="193" spans="2:7" outlineLevel="1">
      <c r="B193" s="13" t="s">
        <v>21</v>
      </c>
      <c r="C193" s="13" t="s">
        <v>25</v>
      </c>
      <c r="D193" s="434">
        <f ca="1">((OFFSET(Tariff_SimCalculation!O119,,$C$181-rpm_start_year))/1000)*(OFFSET(Tariff_SimCalculation!O74,,$C$181-rpm_start_year)/SUM(OFFSET(Tariff_SimCalculation!O73:O74,,$C$181-rpm_start_year)))</f>
        <v>14807971.364390548</v>
      </c>
      <c r="E193" s="434"/>
      <c r="G193" s="5"/>
    </row>
    <row r="194" spans="2:7" outlineLevel="1">
      <c r="B194" s="13" t="s">
        <v>21</v>
      </c>
      <c r="C194" s="13" t="s">
        <v>35</v>
      </c>
      <c r="D194" s="434">
        <f ca="1">(OFFSET(Tariff_SimCalculation!O118,,$C$181-rpm_start_year))/1000</f>
        <v>1839918.1040000001</v>
      </c>
      <c r="E194" s="434"/>
      <c r="G194" s="5"/>
    </row>
    <row r="195" spans="2:7" outlineLevel="1">
      <c r="B195" s="13" t="s">
        <v>30</v>
      </c>
      <c r="C195" s="13" t="s">
        <v>22</v>
      </c>
      <c r="D195" s="434">
        <f ca="1">(OFFSET(Tariff_SimCalculation!O111,,$C$181-rpm_start_year))/1000</f>
        <v>11190000</v>
      </c>
      <c r="E195" s="434"/>
      <c r="G195" s="5"/>
    </row>
    <row r="196" spans="2:7" outlineLevel="1">
      <c r="B196" s="13" t="s">
        <v>30</v>
      </c>
      <c r="C196" s="13" t="s">
        <v>23</v>
      </c>
      <c r="D196" s="434">
        <f ca="1">(OFFSET(Tariff_SimCalculation!O114,,$C$181-rpm_start_year))/1000</f>
        <v>691039.41683228605</v>
      </c>
      <c r="E196" s="434"/>
      <c r="G196" s="5"/>
    </row>
    <row r="197" spans="2:7" outlineLevel="1">
      <c r="B197" s="13" t="s">
        <v>30</v>
      </c>
      <c r="C197" s="13" t="s">
        <v>24</v>
      </c>
      <c r="D197" s="434">
        <f ca="1">(OFFSET(Tariff_SimCalculation!O116,,$C$181-rpm_start_year)+OFFSET(Tariff_SimCalculation!O117,,$C$181-rpm_start_year))/1000</f>
        <v>2652731.3170000003</v>
      </c>
      <c r="E197" s="434"/>
      <c r="G197" s="5"/>
    </row>
    <row r="198" spans="2:7" outlineLevel="1">
      <c r="B198" s="13" t="s">
        <v>30</v>
      </c>
      <c r="C198" s="13" t="s">
        <v>39</v>
      </c>
      <c r="D198" s="434">
        <f ca="1">(OFFSET(Tariff_SimCalculation!O112,,$C$181-rpm_start_year))/1000</f>
        <v>23499000.000000007</v>
      </c>
      <c r="E198" s="434"/>
      <c r="G198" s="5"/>
    </row>
    <row r="199" spans="2:7" outlineLevel="1">
      <c r="B199" s="13" t="s">
        <v>30</v>
      </c>
      <c r="C199" s="13" t="s">
        <v>34</v>
      </c>
      <c r="D199" s="434">
        <f ca="1">(OFFSET(Tariff_SimCalculation!O115,,$C$181-rpm_start_year))/1000</f>
        <v>0</v>
      </c>
      <c r="E199" s="434"/>
      <c r="G199" s="5"/>
    </row>
    <row r="200" spans="2:7" outlineLevel="1">
      <c r="B200" s="13" t="s">
        <v>30</v>
      </c>
      <c r="C200" s="13" t="s">
        <v>33</v>
      </c>
      <c r="D200" s="434">
        <f ca="1">(OFFSET(Tariff_SimCalculation!O113,,$C$181-rpm_start_year))/1000</f>
        <v>6550835.1161917783</v>
      </c>
      <c r="E200" s="434"/>
      <c r="G200" s="5"/>
    </row>
    <row r="201" spans="2:7" outlineLevel="1">
      <c r="B201" s="13" t="s">
        <v>30</v>
      </c>
      <c r="C201" s="13" t="s">
        <v>20</v>
      </c>
      <c r="E201" s="434">
        <f ca="1">OFFSET(Tariff_SimCalculation!O123,,$C$181-rpm_start_year)/1000</f>
        <v>37122472.878033899</v>
      </c>
      <c r="G201" s="5"/>
    </row>
    <row r="202" spans="2:7" outlineLevel="1">
      <c r="B202" s="13" t="s">
        <v>30</v>
      </c>
      <c r="C202" s="13" t="s">
        <v>56</v>
      </c>
      <c r="D202" s="434">
        <f ca="1">((OFFSET(Tariff_SimCalculation!O121,,$C$181-rpm_start_year))/1000)*(OFFSET(Tariff_SimCalculation!O75,,$C$181-rpm_start_year)/SUM(OFFSET(Tariff_SimCalculation!O75:O76,,$C$181-rpm_start_year)))</f>
        <v>0</v>
      </c>
      <c r="E202" s="434"/>
      <c r="G202" s="5"/>
    </row>
    <row r="203" spans="2:7" outlineLevel="1">
      <c r="B203" s="335" t="s">
        <v>30</v>
      </c>
      <c r="C203" s="335" t="s">
        <v>25</v>
      </c>
      <c r="D203" s="520">
        <f ca="1">((OFFSET(Tariff_SimCalculation!O121,,$C$181-rpm_start_year))/1000)*(OFFSET(Tariff_SimCalculation!O76,,$C$181-rpm_start_year)/SUM(OFFSET(Tariff_SimCalculation!O75:O76,,$C$181-rpm_start_year)))</f>
        <v>28445975.851511769</v>
      </c>
      <c r="E203" s="520"/>
      <c r="G203" s="5"/>
    </row>
    <row r="204" spans="2:7" outlineLevel="1">
      <c r="B204" s="13" t="s">
        <v>30</v>
      </c>
      <c r="C204" s="13" t="s">
        <v>40</v>
      </c>
      <c r="D204" s="434">
        <f ca="1">((OFFSET(Tariff_SimCalculation!$O$120,,$C$181-rpm_start_year))/1000)*(SUM(OFFSET(Tariff_SimCalculation!O83:O84,,$C$181-rpm_start_year))/SUM(OFFSET(Tariff_SimCalculation!$O$83:$O$91,,$C$181-rpm_start_year)))</f>
        <v>11491962.507024717</v>
      </c>
      <c r="E204" s="434"/>
      <c r="G204" s="5"/>
    </row>
    <row r="205" spans="2:7" outlineLevel="1">
      <c r="B205" s="13" t="s">
        <v>30</v>
      </c>
      <c r="C205" s="13" t="s">
        <v>41</v>
      </c>
      <c r="D205" s="434">
        <f ca="1">((OFFSET(Tariff_SimCalculation!$O$120,,$C$181-rpm_start_year))/1000)*(SUM(OFFSET(Tariff_SimCalculation!O85,,$C$181-rpm_start_year))/SUM(OFFSET(Tariff_SimCalculation!$O$83:$O$91,,$C$181-rpm_start_year)))</f>
        <v>0</v>
      </c>
      <c r="E205" s="434"/>
      <c r="G205" s="5"/>
    </row>
    <row r="206" spans="2:7" outlineLevel="1">
      <c r="B206" s="13" t="s">
        <v>30</v>
      </c>
      <c r="C206" s="13" t="s">
        <v>42</v>
      </c>
      <c r="D206" s="434">
        <f ca="1">((OFFSET(Tariff_SimCalculation!$O$120,,$C$181-rpm_start_year))/1000)*(SUM(OFFSET(Tariff_SimCalculation!O86,,$C$181-rpm_start_year))/SUM(OFFSET(Tariff_SimCalculation!$O$83:$O$91,,$C$181-rpm_start_year)))</f>
        <v>0</v>
      </c>
      <c r="E206" s="434"/>
      <c r="G206" s="5"/>
    </row>
    <row r="207" spans="2:7" outlineLevel="1">
      <c r="B207" s="13" t="s">
        <v>30</v>
      </c>
      <c r="C207" s="13" t="s">
        <v>43</v>
      </c>
      <c r="D207" s="434">
        <f ca="1">((OFFSET(Tariff_SimCalculation!$O$120,,$C$181-rpm_start_year))/1000)*(SUM(OFFSET(Tariff_SimCalculation!O87,,$C$181-rpm_start_year))/SUM(OFFSET(Tariff_SimCalculation!$O$83:$O$91,,$C$181-rpm_start_year)))</f>
        <v>0</v>
      </c>
      <c r="E207" s="434"/>
      <c r="G207" s="5"/>
    </row>
    <row r="208" spans="2:7" outlineLevel="1">
      <c r="B208" s="13" t="s">
        <v>30</v>
      </c>
      <c r="C208" s="13" t="s">
        <v>44</v>
      </c>
      <c r="D208" s="434">
        <f ca="1">((OFFSET(Tariff_SimCalculation!$O$120,,$C$181-rpm_start_year))/1000)*(SUM(OFFSET(Tariff_SimCalculation!O88:O89,,$C$181-rpm_start_year))/SUM(OFFSET(Tariff_SimCalculation!$O$83:$O$91,,$C$181-rpm_start_year)))</f>
        <v>5896827.8118992988</v>
      </c>
      <c r="E208" s="434"/>
      <c r="G208" s="5"/>
    </row>
    <row r="209" spans="2:38" outlineLevel="1">
      <c r="B209" s="13" t="s">
        <v>30</v>
      </c>
      <c r="C209" s="13" t="s">
        <v>45</v>
      </c>
      <c r="D209" s="434">
        <f ca="1">((OFFSET(Tariff_SimCalculation!$O$120,,$C$181-rpm_start_year))/1000)*(SUM(OFFSET(Tariff_SimCalculation!O90,,$C$181-rpm_start_year))/SUM(OFFSET(Tariff_SimCalculation!$O$83:$O$91,,$C$181-rpm_start_year)))</f>
        <v>0</v>
      </c>
      <c r="E209" s="434"/>
      <c r="G209" s="5"/>
    </row>
    <row r="210" spans="2:38" outlineLevel="1">
      <c r="B210" s="13" t="s">
        <v>30</v>
      </c>
      <c r="C210" s="13" t="s">
        <v>46</v>
      </c>
      <c r="D210" s="434">
        <f ca="1">((OFFSET(Tariff_SimCalculation!$O$120,,$C$181-rpm_start_year))/1000)*(SUM(OFFSET(Tariff_SimCalculation!O91,,$C$181-rpm_start_year))/SUM(OFFSET(Tariff_SimCalculation!$O$83:$O$91,,$C$181-rpm_start_year)))</f>
        <v>53108209.681075983</v>
      </c>
      <c r="E210" s="434"/>
      <c r="G210" s="5"/>
    </row>
    <row r="211" spans="2:38" outlineLevel="1">
      <c r="B211" s="13" t="s">
        <v>30</v>
      </c>
      <c r="C211" s="13" t="s">
        <v>47</v>
      </c>
      <c r="D211" s="434"/>
      <c r="E211" s="434">
        <f ca="1">((OFFSET(Tariff_SimCalculation!$O$124,,$C$181-rpm_start_year))/1000)*(SUM(OFFSET(Tariff_SimCalculation!O92,,$C$181-rpm_start_year))/SUM(OFFSET(Tariff_SimCalculation!$O$92:$O$100,,$C$181-rpm_start_year)))</f>
        <v>2186104.7978472682</v>
      </c>
      <c r="G211" s="5"/>
    </row>
    <row r="212" spans="2:38" outlineLevel="1">
      <c r="B212" s="13" t="s">
        <v>30</v>
      </c>
      <c r="C212" s="13" t="s">
        <v>48</v>
      </c>
      <c r="D212" s="434"/>
      <c r="E212" s="434">
        <f ca="1">((OFFSET(Tariff_SimCalculation!$O$124,,$C$181-rpm_start_year))/1000)*(SUM(OFFSET(Tariff_SimCalculation!O93,,$C$181-rpm_start_year))/SUM(OFFSET(Tariff_SimCalculation!$O$92:$O$100,,$C$181-rpm_start_year)))</f>
        <v>327926.63542057277</v>
      </c>
      <c r="G212" s="5"/>
    </row>
    <row r="213" spans="2:38" outlineLevel="1">
      <c r="B213" s="13" t="s">
        <v>30</v>
      </c>
      <c r="C213" s="13" t="s">
        <v>49</v>
      </c>
      <c r="D213" s="434"/>
      <c r="E213" s="434">
        <f ca="1">((OFFSET(Tariff_SimCalculation!$O$124,,$C$181-rpm_start_year))/1000)*(SUM(OFFSET(Tariff_SimCalculation!O94,,$C$181-rpm_start_year))/SUM(OFFSET(Tariff_SimCalculation!$O$92:$O$100,,$C$181-rpm_start_year)))</f>
        <v>435526.36414881586</v>
      </c>
      <c r="G213" s="5"/>
    </row>
    <row r="214" spans="2:38" outlineLevel="1">
      <c r="B214" s="13" t="s">
        <v>30</v>
      </c>
      <c r="C214" s="13" t="s">
        <v>50</v>
      </c>
      <c r="D214" s="435"/>
      <c r="E214" s="434">
        <f ca="1">((OFFSET(Tariff_SimCalculation!$O$124,,$C$181-rpm_start_year))/1000)*(SUM(OFFSET(Tariff_SimCalculation!O95,,$C$181-rpm_start_year))/SUM(OFFSET(Tariff_SimCalculation!$O$92:$O$100,,$C$181-rpm_start_year)))</f>
        <v>3840262.7975840811</v>
      </c>
      <c r="G214" s="5"/>
    </row>
    <row r="215" spans="2:38" outlineLevel="1">
      <c r="B215" s="13" t="s">
        <v>30</v>
      </c>
      <c r="C215" s="13" t="s">
        <v>51</v>
      </c>
      <c r="D215" s="435"/>
      <c r="E215" s="434">
        <f ca="1">((OFFSET(Tariff_SimCalculation!$O$124,,$C$181-rpm_start_year))/1000)*(SUM(OFFSET(Tariff_SimCalculation!O96,,$C$181-rpm_start_year))/SUM(OFFSET(Tariff_SimCalculation!$O$92:$O$100,,$C$181-rpm_start_year)))</f>
        <v>217244.93010906663</v>
      </c>
      <c r="G215" s="5"/>
    </row>
    <row r="216" spans="2:38" outlineLevel="1">
      <c r="B216" s="13" t="s">
        <v>30</v>
      </c>
      <c r="C216" s="13" t="s">
        <v>52</v>
      </c>
      <c r="D216" s="435"/>
      <c r="E216" s="434">
        <f ca="1">((OFFSET(Tariff_SimCalculation!$O$124,,$C$181-rpm_start_year))/1000)*(SUM(OFFSET(Tariff_SimCalculation!O97,,$C$181-rpm_start_year))/SUM(OFFSET(Tariff_SimCalculation!$O$92:$O$100,,$C$181-rpm_start_year)))</f>
        <v>108612.63105139592</v>
      </c>
      <c r="G216" s="5"/>
    </row>
    <row r="217" spans="2:38" outlineLevel="1">
      <c r="B217" s="13" t="s">
        <v>30</v>
      </c>
      <c r="C217" s="13" t="s">
        <v>53</v>
      </c>
      <c r="D217" s="436"/>
      <c r="E217" s="434">
        <f ca="1">((OFFSET(Tariff_SimCalculation!$O$124,,$C$181-rpm_start_year))/1000)*(SUM(OFFSET(Tariff_SimCalculation!O98,,$C$181-rpm_start_year))/SUM(OFFSET(Tariff_SimCalculation!$O$92:$O$100,,$C$181-rpm_start_year)))</f>
        <v>43312.883418391626</v>
      </c>
      <c r="G217" s="5"/>
    </row>
    <row r="218" spans="2:38" outlineLevel="1">
      <c r="B218" s="13" t="s">
        <v>30</v>
      </c>
      <c r="C218" s="13" t="s">
        <v>54</v>
      </c>
      <c r="D218" s="436"/>
      <c r="E218" s="434">
        <f ca="1">((OFFSET(Tariff_SimCalculation!$O$124,,$C$181-rpm_start_year))/1000)*(SUM(OFFSET(Tariff_SimCalculation!O99,,$C$181-rpm_start_year))/SUM(OFFSET(Tariff_SimCalculation!$O$92:$O$100,,$C$181-rpm_start_year)))</f>
        <v>216519.18067752608</v>
      </c>
      <c r="G218" s="5"/>
    </row>
    <row r="219" spans="2:38" outlineLevel="1">
      <c r="B219" s="13" t="s">
        <v>30</v>
      </c>
      <c r="C219" s="13" t="s">
        <v>55</v>
      </c>
      <c r="D219" s="436"/>
      <c r="E219" s="434">
        <f ca="1">((OFFSET(Tariff_SimCalculation!$O$124,,$C$181-rpm_start_year))/1000)*(SUM(OFFSET(Tariff_SimCalculation!O100,,$C$181-rpm_start_year))/SUM(OFFSET(Tariff_SimCalculation!$O$92:$O$100,,$C$181-rpm_start_year)))</f>
        <v>559631.48374288145</v>
      </c>
      <c r="G219" s="5"/>
    </row>
    <row r="220" spans="2:38">
      <c r="B220" s="13"/>
      <c r="C220" s="13"/>
    </row>
    <row r="221" spans="2:38" ht="15.75" thickBot="1">
      <c r="C221" s="42"/>
    </row>
    <row r="222" spans="2:38" ht="15.75" thickBot="1">
      <c r="B222" s="31"/>
      <c r="C222" s="337"/>
      <c r="D222" s="338" t="s">
        <v>30</v>
      </c>
      <c r="E222" s="339" t="s">
        <v>30</v>
      </c>
      <c r="F222" s="339" t="s">
        <v>30</v>
      </c>
      <c r="G222" s="339" t="s">
        <v>30</v>
      </c>
      <c r="H222" s="339" t="s">
        <v>30</v>
      </c>
      <c r="I222" s="339" t="s">
        <v>30</v>
      </c>
      <c r="J222" s="339" t="s">
        <v>30</v>
      </c>
      <c r="K222" s="339" t="s">
        <v>30</v>
      </c>
      <c r="L222" s="339" t="s">
        <v>30</v>
      </c>
      <c r="M222" s="339" t="s">
        <v>30</v>
      </c>
      <c r="N222" s="339" t="s">
        <v>30</v>
      </c>
      <c r="O222" s="339" t="s">
        <v>30</v>
      </c>
      <c r="P222" s="339" t="s">
        <v>30</v>
      </c>
      <c r="Q222" s="339" t="s">
        <v>30</v>
      </c>
      <c r="R222" s="339" t="s">
        <v>30</v>
      </c>
      <c r="S222" s="339" t="s">
        <v>30</v>
      </c>
      <c r="T222" s="339" t="s">
        <v>30</v>
      </c>
      <c r="U222" s="339" t="s">
        <v>30</v>
      </c>
      <c r="V222" s="339" t="s">
        <v>30</v>
      </c>
      <c r="W222" s="339" t="s">
        <v>30</v>
      </c>
      <c r="X222" s="339" t="s">
        <v>30</v>
      </c>
      <c r="Y222" s="339" t="s">
        <v>30</v>
      </c>
      <c r="Z222" s="339" t="s">
        <v>30</v>
      </c>
      <c r="AA222" s="339" t="s">
        <v>30</v>
      </c>
      <c r="AB222" s="340" t="s">
        <v>30</v>
      </c>
    </row>
    <row r="223" spans="2:38" ht="15.75" thickBot="1">
      <c r="B223" s="341" t="s">
        <v>258</v>
      </c>
      <c r="C223" s="342" t="s">
        <v>109</v>
      </c>
      <c r="D223" s="343" t="s">
        <v>82</v>
      </c>
      <c r="E223" s="344" t="s">
        <v>82</v>
      </c>
      <c r="F223" s="344" t="s">
        <v>82</v>
      </c>
      <c r="G223" s="344" t="s">
        <v>82</v>
      </c>
      <c r="H223" s="344" t="s">
        <v>82</v>
      </c>
      <c r="I223" s="344" t="s">
        <v>82</v>
      </c>
      <c r="J223" s="344" t="s">
        <v>82</v>
      </c>
      <c r="K223" s="345" t="s">
        <v>82</v>
      </c>
      <c r="L223" s="345" t="s">
        <v>82</v>
      </c>
      <c r="M223" s="346" t="s">
        <v>83</v>
      </c>
      <c r="N223" s="346" t="s">
        <v>83</v>
      </c>
      <c r="O223" s="346" t="s">
        <v>83</v>
      </c>
      <c r="P223" s="346" t="s">
        <v>83</v>
      </c>
      <c r="Q223" s="346" t="s">
        <v>83</v>
      </c>
      <c r="R223" s="346" t="s">
        <v>83</v>
      </c>
      <c r="S223" s="346" t="s">
        <v>83</v>
      </c>
      <c r="T223" s="346" t="s">
        <v>83</v>
      </c>
      <c r="U223" s="346" t="s">
        <v>83</v>
      </c>
      <c r="V223" s="346" t="s">
        <v>83</v>
      </c>
      <c r="W223" s="346" t="s">
        <v>83</v>
      </c>
      <c r="X223" s="346" t="s">
        <v>83</v>
      </c>
      <c r="Y223" s="346" t="s">
        <v>83</v>
      </c>
      <c r="Z223" s="346" t="s">
        <v>83</v>
      </c>
      <c r="AA223" s="346" t="s">
        <v>83</v>
      </c>
      <c r="AB223" s="347" t="s">
        <v>83</v>
      </c>
    </row>
    <row r="224" spans="2:38" ht="68.25" thickBot="1">
      <c r="B224" s="348"/>
      <c r="C224" s="349"/>
      <c r="D224" s="350" t="s">
        <v>22</v>
      </c>
      <c r="E224" s="351" t="s">
        <v>23</v>
      </c>
      <c r="F224" s="351" t="s">
        <v>24</v>
      </c>
      <c r="G224" s="351" t="s">
        <v>39</v>
      </c>
      <c r="H224" s="351" t="s">
        <v>34</v>
      </c>
      <c r="I224" s="351" t="s">
        <v>33</v>
      </c>
      <c r="J224" s="351" t="s">
        <v>20</v>
      </c>
      <c r="K224" s="351" t="s">
        <v>56</v>
      </c>
      <c r="L224" s="351" t="s">
        <v>25</v>
      </c>
      <c r="M224" s="351" t="s">
        <v>40</v>
      </c>
      <c r="N224" s="351" t="s">
        <v>41</v>
      </c>
      <c r="O224" s="351" t="s">
        <v>42</v>
      </c>
      <c r="P224" s="351" t="s">
        <v>43</v>
      </c>
      <c r="Q224" s="351" t="s">
        <v>44</v>
      </c>
      <c r="R224" s="351" t="s">
        <v>45</v>
      </c>
      <c r="S224" s="351" t="s">
        <v>46</v>
      </c>
      <c r="T224" s="351" t="s">
        <v>47</v>
      </c>
      <c r="U224" s="351" t="s">
        <v>48</v>
      </c>
      <c r="V224" s="351" t="s">
        <v>49</v>
      </c>
      <c r="W224" s="351" t="s">
        <v>50</v>
      </c>
      <c r="X224" s="351" t="s">
        <v>51</v>
      </c>
      <c r="Y224" s="351" t="s">
        <v>52</v>
      </c>
      <c r="Z224" s="351" t="s">
        <v>53</v>
      </c>
      <c r="AA224" s="351" t="s">
        <v>54</v>
      </c>
      <c r="AB224" s="352" t="s">
        <v>55</v>
      </c>
      <c r="AC224" s="353" t="s">
        <v>259</v>
      </c>
      <c r="AD224" s="354" t="s">
        <v>260</v>
      </c>
      <c r="AE224" s="355" t="s">
        <v>261</v>
      </c>
      <c r="AF224" s="356" t="s">
        <v>262</v>
      </c>
      <c r="AG224" s="356" t="s">
        <v>263</v>
      </c>
      <c r="AH224" s="356" t="s">
        <v>264</v>
      </c>
      <c r="AI224" s="356" t="s">
        <v>265</v>
      </c>
      <c r="AJ224" s="356" t="s">
        <v>266</v>
      </c>
      <c r="AK224" s="356" t="s">
        <v>267</v>
      </c>
      <c r="AL224" s="425" t="s">
        <v>268</v>
      </c>
    </row>
    <row r="225" spans="2:38" ht="15.75" thickBot="1">
      <c r="B225" s="357" t="s">
        <v>21</v>
      </c>
      <c r="C225" s="411" t="s">
        <v>22</v>
      </c>
      <c r="D225" s="358">
        <v>1</v>
      </c>
      <c r="E225" s="359">
        <f t="shared" ref="E225:AB234" si="66">IF($C$223="No",1,F145)</f>
        <v>1</v>
      </c>
      <c r="F225" s="359">
        <f t="shared" si="66"/>
        <v>1</v>
      </c>
      <c r="G225" s="359">
        <f t="shared" si="66"/>
        <v>1</v>
      </c>
      <c r="H225" s="359">
        <f t="shared" si="66"/>
        <v>1</v>
      </c>
      <c r="I225" s="359">
        <f t="shared" si="66"/>
        <v>1</v>
      </c>
      <c r="J225" s="359">
        <f t="shared" si="66"/>
        <v>1</v>
      </c>
      <c r="K225" s="359">
        <f t="shared" si="66"/>
        <v>1</v>
      </c>
      <c r="L225" s="359">
        <f t="shared" si="66"/>
        <v>1</v>
      </c>
      <c r="M225" s="359">
        <f t="shared" si="66"/>
        <v>1</v>
      </c>
      <c r="N225" s="359">
        <f t="shared" si="66"/>
        <v>1</v>
      </c>
      <c r="O225" s="359">
        <f t="shared" si="66"/>
        <v>1</v>
      </c>
      <c r="P225" s="359">
        <f t="shared" si="66"/>
        <v>1</v>
      </c>
      <c r="Q225" s="359">
        <f t="shared" si="66"/>
        <v>1</v>
      </c>
      <c r="R225" s="359">
        <f t="shared" si="66"/>
        <v>1</v>
      </c>
      <c r="S225" s="359">
        <f t="shared" si="66"/>
        <v>1</v>
      </c>
      <c r="T225" s="359">
        <f t="shared" si="66"/>
        <v>1</v>
      </c>
      <c r="U225" s="359">
        <f t="shared" si="66"/>
        <v>1</v>
      </c>
      <c r="V225" s="359">
        <f t="shared" si="66"/>
        <v>1</v>
      </c>
      <c r="W225" s="359">
        <f t="shared" si="66"/>
        <v>1</v>
      </c>
      <c r="X225" s="359">
        <f t="shared" si="66"/>
        <v>1</v>
      </c>
      <c r="Y225" s="359">
        <f t="shared" si="66"/>
        <v>1</v>
      </c>
      <c r="Z225" s="359">
        <f t="shared" si="66"/>
        <v>1</v>
      </c>
      <c r="AA225" s="359">
        <f t="shared" si="66"/>
        <v>1</v>
      </c>
      <c r="AB225" s="360">
        <f t="shared" si="66"/>
        <v>1</v>
      </c>
      <c r="AC225" s="414">
        <f t="shared" ref="AC225:AC234" ca="1" si="67">SUMPRODUCT($D225:$AB225,$D$238:$AB$238*($D$223:$AB$223="Intra"))/SUMPRODUCT($D$238:$AB$238*($D$223:$AB$223="Intra"))</f>
        <v>1</v>
      </c>
      <c r="AD225" s="361">
        <f t="shared" ref="AD225:AD234" ca="1" si="68">SUMPRODUCT($D225:$AB225,$D$238:$AB$238*($D$223:$AB$223="Cross"))/SUMPRODUCT($D$238:$AB$238*($D$223:$AB$223="Cross"))</f>
        <v>1</v>
      </c>
      <c r="AE225" s="362">
        <f ca="1">D185</f>
        <v>49082237.037014388</v>
      </c>
      <c r="AF225" s="363">
        <f ca="1">E185</f>
        <v>10071000</v>
      </c>
      <c r="AG225" s="363">
        <f ca="1">AE225+AF225</f>
        <v>59153237.037014388</v>
      </c>
      <c r="AH225" s="363">
        <f ca="1">AG225-AI225</f>
        <v>27949040.329564773</v>
      </c>
      <c r="AI225" s="363">
        <f ca="1">SUMIFS($D$238:$AB$238,$D$223:$AB$223,"Cross")*(AG225/SUM($AG$225:$AG$234))</f>
        <v>31204196.707449615</v>
      </c>
      <c r="AJ225" s="364">
        <f ca="1">AH225*AC225</f>
        <v>27949040.329564773</v>
      </c>
      <c r="AK225" s="426">
        <f ca="1">AI225*AD225</f>
        <v>31204196.707449615</v>
      </c>
      <c r="AL225" s="429">
        <f ca="1">OFFSET(Tariff_SimCalculation!$O$27,,$C$181-rpm_start_year)</f>
        <v>3.9690899154088619E-2</v>
      </c>
    </row>
    <row r="226" spans="2:38" ht="15.75" thickBot="1">
      <c r="B226" s="365" t="s">
        <v>21</v>
      </c>
      <c r="C226" s="412" t="s">
        <v>23</v>
      </c>
      <c r="D226" s="366">
        <f t="shared" ref="D226:S234" si="69">IF($C$223="No",1,E146)</f>
        <v>1</v>
      </c>
      <c r="E226" s="367">
        <v>1</v>
      </c>
      <c r="F226" s="367">
        <f t="shared" si="69"/>
        <v>1</v>
      </c>
      <c r="G226" s="367">
        <f t="shared" si="69"/>
        <v>1</v>
      </c>
      <c r="H226" s="367">
        <f t="shared" si="69"/>
        <v>1</v>
      </c>
      <c r="I226" s="367">
        <f t="shared" si="69"/>
        <v>1</v>
      </c>
      <c r="J226" s="367">
        <f t="shared" si="69"/>
        <v>1</v>
      </c>
      <c r="K226" s="367">
        <f t="shared" si="69"/>
        <v>1</v>
      </c>
      <c r="L226" s="367">
        <f t="shared" si="69"/>
        <v>1</v>
      </c>
      <c r="M226" s="367">
        <f t="shared" si="69"/>
        <v>1</v>
      </c>
      <c r="N226" s="367">
        <f t="shared" si="69"/>
        <v>1</v>
      </c>
      <c r="O226" s="367">
        <f t="shared" si="69"/>
        <v>1</v>
      </c>
      <c r="P226" s="367">
        <f t="shared" si="69"/>
        <v>1</v>
      </c>
      <c r="Q226" s="367">
        <f t="shared" si="69"/>
        <v>1</v>
      </c>
      <c r="R226" s="367">
        <f t="shared" si="69"/>
        <v>1</v>
      </c>
      <c r="S226" s="367">
        <f t="shared" si="69"/>
        <v>1</v>
      </c>
      <c r="T226" s="367">
        <f t="shared" si="66"/>
        <v>1</v>
      </c>
      <c r="U226" s="367">
        <f t="shared" si="66"/>
        <v>1</v>
      </c>
      <c r="V226" s="367">
        <f t="shared" si="66"/>
        <v>1</v>
      </c>
      <c r="W226" s="367">
        <f t="shared" si="66"/>
        <v>1</v>
      </c>
      <c r="X226" s="367">
        <f t="shared" si="66"/>
        <v>1</v>
      </c>
      <c r="Y226" s="367">
        <f t="shared" si="66"/>
        <v>1</v>
      </c>
      <c r="Z226" s="367">
        <f t="shared" si="66"/>
        <v>1</v>
      </c>
      <c r="AA226" s="367">
        <f t="shared" si="66"/>
        <v>1</v>
      </c>
      <c r="AB226" s="368">
        <f t="shared" si="66"/>
        <v>1</v>
      </c>
      <c r="AC226" s="370">
        <f t="shared" ca="1" si="67"/>
        <v>1</v>
      </c>
      <c r="AD226" s="369">
        <f t="shared" ca="1" si="68"/>
        <v>1</v>
      </c>
      <c r="AE226" s="362">
        <f t="shared" ref="AE226:AF235" ca="1" si="70">D186</f>
        <v>56380240.171232864</v>
      </c>
      <c r="AF226" s="363">
        <f t="shared" si="70"/>
        <v>0</v>
      </c>
      <c r="AG226" s="32">
        <f t="shared" ref="AG226:AG234" ca="1" si="71">AE226+AF226</f>
        <v>56380240.171232864</v>
      </c>
      <c r="AH226" s="32">
        <f t="shared" ref="AH226:AH233" ca="1" si="72">AG226-AI226</f>
        <v>26638839.821230996</v>
      </c>
      <c r="AI226" s="32">
        <f t="shared" ref="AI226:AI234" ca="1" si="73">SUMIFS($D$238:$AB$238,$D$223:$AB$223,"Cross")*AG226/SUM($AG$225:$AG$234)</f>
        <v>29741400.350001868</v>
      </c>
      <c r="AJ226" s="31">
        <f t="shared" ref="AJ226:AK234" ca="1" si="74">AH226*AC226</f>
        <v>26638839.821230996</v>
      </c>
      <c r="AK226" s="242">
        <f t="shared" ca="1" si="74"/>
        <v>29741400.350001868</v>
      </c>
      <c r="AL226" s="429">
        <f ca="1">OFFSET(Tariff_SimCalculation!$O$27,,$C$181-rpm_start_year)</f>
        <v>3.9690899154088619E-2</v>
      </c>
    </row>
    <row r="227" spans="2:38" ht="15.75" thickBot="1">
      <c r="B227" s="365" t="s">
        <v>21</v>
      </c>
      <c r="C227" s="412" t="s">
        <v>24</v>
      </c>
      <c r="D227" s="366">
        <f t="shared" si="69"/>
        <v>1</v>
      </c>
      <c r="E227" s="367">
        <f t="shared" si="69"/>
        <v>1</v>
      </c>
      <c r="F227" s="367">
        <v>1</v>
      </c>
      <c r="G227" s="367">
        <f t="shared" si="69"/>
        <v>1</v>
      </c>
      <c r="H227" s="367">
        <f t="shared" si="69"/>
        <v>1</v>
      </c>
      <c r="I227" s="367">
        <f t="shared" si="69"/>
        <v>1</v>
      </c>
      <c r="J227" s="367">
        <f t="shared" si="69"/>
        <v>1</v>
      </c>
      <c r="K227" s="367">
        <f t="shared" si="69"/>
        <v>1</v>
      </c>
      <c r="L227" s="367">
        <f t="shared" si="69"/>
        <v>1</v>
      </c>
      <c r="M227" s="367">
        <f t="shared" si="69"/>
        <v>1</v>
      </c>
      <c r="N227" s="367">
        <f t="shared" si="69"/>
        <v>1</v>
      </c>
      <c r="O227" s="367">
        <f t="shared" si="69"/>
        <v>1</v>
      </c>
      <c r="P227" s="367">
        <f t="shared" si="69"/>
        <v>1</v>
      </c>
      <c r="Q227" s="367">
        <f t="shared" si="69"/>
        <v>1</v>
      </c>
      <c r="R227" s="367">
        <f t="shared" si="69"/>
        <v>1</v>
      </c>
      <c r="S227" s="367">
        <f t="shared" si="69"/>
        <v>1</v>
      </c>
      <c r="T227" s="367">
        <f t="shared" si="66"/>
        <v>1</v>
      </c>
      <c r="U227" s="367">
        <f t="shared" si="66"/>
        <v>1</v>
      </c>
      <c r="V227" s="367">
        <f t="shared" si="66"/>
        <v>1</v>
      </c>
      <c r="W227" s="367">
        <f t="shared" si="66"/>
        <v>1</v>
      </c>
      <c r="X227" s="367">
        <f t="shared" si="66"/>
        <v>1</v>
      </c>
      <c r="Y227" s="367">
        <f t="shared" si="66"/>
        <v>1</v>
      </c>
      <c r="Z227" s="367">
        <f t="shared" si="66"/>
        <v>1</v>
      </c>
      <c r="AA227" s="367">
        <f t="shared" si="66"/>
        <v>1</v>
      </c>
      <c r="AB227" s="368">
        <f t="shared" si="66"/>
        <v>1</v>
      </c>
      <c r="AC227" s="370">
        <f t="shared" ca="1" si="67"/>
        <v>1</v>
      </c>
      <c r="AD227" s="369">
        <f t="shared" ca="1" si="68"/>
        <v>1</v>
      </c>
      <c r="AE227" s="362">
        <f t="shared" ca="1" si="70"/>
        <v>19733489.94966165</v>
      </c>
      <c r="AF227" s="363">
        <f t="shared" si="70"/>
        <v>0</v>
      </c>
      <c r="AG227" s="32">
        <f t="shared" ca="1" si="71"/>
        <v>19733489.94966165</v>
      </c>
      <c r="AH227" s="32">
        <f t="shared" ca="1" si="72"/>
        <v>9323785.7143986952</v>
      </c>
      <c r="AI227" s="32">
        <f t="shared" ca="1" si="73"/>
        <v>10409704.235262955</v>
      </c>
      <c r="AJ227" s="31">
        <f t="shared" ca="1" si="74"/>
        <v>9323785.7143986952</v>
      </c>
      <c r="AK227" s="242">
        <f t="shared" ca="1" si="74"/>
        <v>10409704.235262955</v>
      </c>
      <c r="AL227" s="429">
        <f ca="1">OFFSET(Tariff_SimCalculation!$O$27,,$C$181-rpm_start_year)</f>
        <v>3.9690899154088619E-2</v>
      </c>
    </row>
    <row r="228" spans="2:38" ht="15.75" thickBot="1">
      <c r="B228" s="365" t="s">
        <v>21</v>
      </c>
      <c r="C228" s="412" t="s">
        <v>39</v>
      </c>
      <c r="D228" s="366">
        <f t="shared" si="69"/>
        <v>1</v>
      </c>
      <c r="E228" s="367">
        <f t="shared" si="69"/>
        <v>1</v>
      </c>
      <c r="F228" s="367">
        <f t="shared" si="69"/>
        <v>1</v>
      </c>
      <c r="G228" s="367">
        <v>1</v>
      </c>
      <c r="H228" s="367">
        <f t="shared" si="69"/>
        <v>1</v>
      </c>
      <c r="I228" s="367">
        <f t="shared" si="69"/>
        <v>1</v>
      </c>
      <c r="J228" s="367">
        <f t="shared" si="69"/>
        <v>1</v>
      </c>
      <c r="K228" s="367">
        <f t="shared" si="69"/>
        <v>1</v>
      </c>
      <c r="L228" s="367">
        <f t="shared" si="69"/>
        <v>1</v>
      </c>
      <c r="M228" s="367">
        <f t="shared" si="69"/>
        <v>1</v>
      </c>
      <c r="N228" s="367">
        <f t="shared" si="69"/>
        <v>1</v>
      </c>
      <c r="O228" s="367">
        <f t="shared" si="69"/>
        <v>1</v>
      </c>
      <c r="P228" s="367">
        <f t="shared" si="69"/>
        <v>1</v>
      </c>
      <c r="Q228" s="367">
        <f t="shared" si="69"/>
        <v>1</v>
      </c>
      <c r="R228" s="367">
        <f t="shared" si="69"/>
        <v>1</v>
      </c>
      <c r="S228" s="367">
        <f t="shared" si="69"/>
        <v>1</v>
      </c>
      <c r="T228" s="367">
        <f t="shared" si="66"/>
        <v>1</v>
      </c>
      <c r="U228" s="367">
        <f t="shared" si="66"/>
        <v>1</v>
      </c>
      <c r="V228" s="367">
        <f t="shared" si="66"/>
        <v>1</v>
      </c>
      <c r="W228" s="367">
        <f t="shared" si="66"/>
        <v>1</v>
      </c>
      <c r="X228" s="367">
        <f t="shared" si="66"/>
        <v>1</v>
      </c>
      <c r="Y228" s="367">
        <f t="shared" si="66"/>
        <v>1</v>
      </c>
      <c r="Z228" s="367">
        <f t="shared" si="66"/>
        <v>1</v>
      </c>
      <c r="AA228" s="367">
        <f t="shared" si="66"/>
        <v>1</v>
      </c>
      <c r="AB228" s="368">
        <f t="shared" si="66"/>
        <v>1</v>
      </c>
      <c r="AC228" s="370">
        <f t="shared" ca="1" si="67"/>
        <v>1</v>
      </c>
      <c r="AD228" s="369">
        <f t="shared" ca="1" si="68"/>
        <v>1</v>
      </c>
      <c r="AE228" s="362">
        <f t="shared" si="70"/>
        <v>0</v>
      </c>
      <c r="AF228" s="363">
        <f t="shared" si="70"/>
        <v>0</v>
      </c>
      <c r="AG228" s="32">
        <f>AE228+AF228</f>
        <v>0</v>
      </c>
      <c r="AH228" s="32">
        <f t="shared" ca="1" si="72"/>
        <v>0</v>
      </c>
      <c r="AI228" s="32">
        <f t="shared" ca="1" si="73"/>
        <v>0</v>
      </c>
      <c r="AJ228" s="31">
        <f t="shared" ca="1" si="74"/>
        <v>0</v>
      </c>
      <c r="AK228" s="242">
        <f t="shared" ca="1" si="74"/>
        <v>0</v>
      </c>
      <c r="AL228" s="429">
        <f ca="1">OFFSET(Tariff_SimCalculation!$O$27,,$C$181-rpm_start_year)</f>
        <v>3.9690899154088619E-2</v>
      </c>
    </row>
    <row r="229" spans="2:38" ht="15.75" thickBot="1">
      <c r="B229" s="365" t="s">
        <v>21</v>
      </c>
      <c r="C229" s="412" t="s">
        <v>34</v>
      </c>
      <c r="D229" s="366">
        <f t="shared" si="69"/>
        <v>1</v>
      </c>
      <c r="E229" s="367">
        <f t="shared" si="69"/>
        <v>1</v>
      </c>
      <c r="F229" s="367">
        <f t="shared" si="69"/>
        <v>1</v>
      </c>
      <c r="G229" s="367">
        <f t="shared" si="69"/>
        <v>1</v>
      </c>
      <c r="H229" s="367">
        <v>1</v>
      </c>
      <c r="I229" s="367">
        <f t="shared" si="69"/>
        <v>1</v>
      </c>
      <c r="J229" s="367">
        <f t="shared" si="69"/>
        <v>1</v>
      </c>
      <c r="K229" s="367">
        <f t="shared" si="69"/>
        <v>1</v>
      </c>
      <c r="L229" s="367">
        <f t="shared" si="69"/>
        <v>1</v>
      </c>
      <c r="M229" s="367">
        <f t="shared" si="69"/>
        <v>1</v>
      </c>
      <c r="N229" s="367">
        <f t="shared" si="69"/>
        <v>1</v>
      </c>
      <c r="O229" s="367">
        <f t="shared" si="69"/>
        <v>1</v>
      </c>
      <c r="P229" s="367">
        <f t="shared" si="69"/>
        <v>1</v>
      </c>
      <c r="Q229" s="367">
        <f t="shared" si="69"/>
        <v>1</v>
      </c>
      <c r="R229" s="367">
        <f t="shared" si="69"/>
        <v>1</v>
      </c>
      <c r="S229" s="367">
        <f t="shared" si="69"/>
        <v>1</v>
      </c>
      <c r="T229" s="367">
        <f t="shared" si="66"/>
        <v>1</v>
      </c>
      <c r="U229" s="367">
        <f t="shared" si="66"/>
        <v>1</v>
      </c>
      <c r="V229" s="367">
        <f t="shared" si="66"/>
        <v>1</v>
      </c>
      <c r="W229" s="367">
        <f t="shared" si="66"/>
        <v>1</v>
      </c>
      <c r="X229" s="367">
        <f t="shared" si="66"/>
        <v>1</v>
      </c>
      <c r="Y229" s="367">
        <f t="shared" si="66"/>
        <v>1</v>
      </c>
      <c r="Z229" s="367">
        <f t="shared" si="66"/>
        <v>1</v>
      </c>
      <c r="AA229" s="367">
        <f t="shared" si="66"/>
        <v>1</v>
      </c>
      <c r="AB229" s="368">
        <f t="shared" si="66"/>
        <v>1</v>
      </c>
      <c r="AC229" s="370">
        <f t="shared" ca="1" si="67"/>
        <v>1</v>
      </c>
      <c r="AD229" s="369">
        <f t="shared" ca="1" si="68"/>
        <v>1</v>
      </c>
      <c r="AE229" s="362">
        <f t="shared" si="70"/>
        <v>0</v>
      </c>
      <c r="AF229" s="363">
        <f t="shared" si="70"/>
        <v>0</v>
      </c>
      <c r="AG229" s="32">
        <f>AE229+AF229</f>
        <v>0</v>
      </c>
      <c r="AH229" s="32">
        <f t="shared" ca="1" si="72"/>
        <v>0</v>
      </c>
      <c r="AI229" s="32">
        <f t="shared" ca="1" si="73"/>
        <v>0</v>
      </c>
      <c r="AJ229" s="31">
        <f t="shared" ca="1" si="74"/>
        <v>0</v>
      </c>
      <c r="AK229" s="242">
        <f t="shared" ca="1" si="74"/>
        <v>0</v>
      </c>
      <c r="AL229" s="429">
        <f ca="1">OFFSET(Tariff_SimCalculation!$O$27,,$C$181-rpm_start_year)</f>
        <v>3.9690899154088619E-2</v>
      </c>
    </row>
    <row r="230" spans="2:38" ht="15.75" thickBot="1">
      <c r="B230" s="365" t="s">
        <v>21</v>
      </c>
      <c r="C230" s="412" t="s">
        <v>33</v>
      </c>
      <c r="D230" s="366">
        <f t="shared" si="69"/>
        <v>1</v>
      </c>
      <c r="E230" s="367">
        <f t="shared" si="69"/>
        <v>1</v>
      </c>
      <c r="F230" s="367">
        <f t="shared" si="69"/>
        <v>1</v>
      </c>
      <c r="G230" s="367">
        <f t="shared" si="69"/>
        <v>1</v>
      </c>
      <c r="H230" s="367">
        <f t="shared" si="69"/>
        <v>1</v>
      </c>
      <c r="I230" s="367">
        <v>1</v>
      </c>
      <c r="J230" s="367">
        <f t="shared" si="69"/>
        <v>1</v>
      </c>
      <c r="K230" s="367">
        <f t="shared" si="69"/>
        <v>1</v>
      </c>
      <c r="L230" s="367">
        <f t="shared" si="69"/>
        <v>1</v>
      </c>
      <c r="M230" s="367">
        <f t="shared" si="69"/>
        <v>1</v>
      </c>
      <c r="N230" s="367">
        <f t="shared" si="69"/>
        <v>1</v>
      </c>
      <c r="O230" s="367">
        <f t="shared" si="69"/>
        <v>1</v>
      </c>
      <c r="P230" s="367">
        <f t="shared" si="69"/>
        <v>1</v>
      </c>
      <c r="Q230" s="367">
        <f t="shared" si="69"/>
        <v>1</v>
      </c>
      <c r="R230" s="367">
        <f t="shared" si="69"/>
        <v>1</v>
      </c>
      <c r="S230" s="367">
        <f t="shared" si="69"/>
        <v>1</v>
      </c>
      <c r="T230" s="367">
        <f t="shared" si="66"/>
        <v>1</v>
      </c>
      <c r="U230" s="367">
        <f t="shared" si="66"/>
        <v>1</v>
      </c>
      <c r="V230" s="367">
        <f t="shared" si="66"/>
        <v>1</v>
      </c>
      <c r="W230" s="367">
        <f t="shared" si="66"/>
        <v>1</v>
      </c>
      <c r="X230" s="367">
        <f t="shared" si="66"/>
        <v>1</v>
      </c>
      <c r="Y230" s="367">
        <f t="shared" si="66"/>
        <v>1</v>
      </c>
      <c r="Z230" s="367">
        <f t="shared" si="66"/>
        <v>1</v>
      </c>
      <c r="AA230" s="367">
        <f t="shared" si="66"/>
        <v>1</v>
      </c>
      <c r="AB230" s="368">
        <f t="shared" si="66"/>
        <v>1</v>
      </c>
      <c r="AC230" s="370">
        <f t="shared" ca="1" si="67"/>
        <v>1</v>
      </c>
      <c r="AD230" s="369">
        <f t="shared" ca="1" si="68"/>
        <v>1</v>
      </c>
      <c r="AE230" s="362">
        <f t="shared" si="70"/>
        <v>0</v>
      </c>
      <c r="AF230" s="363">
        <f t="shared" si="70"/>
        <v>0</v>
      </c>
      <c r="AG230" s="32">
        <f t="shared" si="71"/>
        <v>0</v>
      </c>
      <c r="AH230" s="32">
        <f t="shared" ca="1" si="72"/>
        <v>0</v>
      </c>
      <c r="AI230" s="32">
        <f t="shared" ca="1" si="73"/>
        <v>0</v>
      </c>
      <c r="AJ230" s="31">
        <f t="shared" ca="1" si="74"/>
        <v>0</v>
      </c>
      <c r="AK230" s="242">
        <f t="shared" ca="1" si="74"/>
        <v>0</v>
      </c>
      <c r="AL230" s="429">
        <f ca="1">OFFSET(Tariff_SimCalculation!$O$27,,$C$181-rpm_start_year)</f>
        <v>3.9690899154088619E-2</v>
      </c>
    </row>
    <row r="231" spans="2:38" ht="15.75" thickBot="1">
      <c r="B231" s="365" t="s">
        <v>21</v>
      </c>
      <c r="C231" s="412" t="s">
        <v>20</v>
      </c>
      <c r="D231" s="366">
        <f t="shared" si="69"/>
        <v>1</v>
      </c>
      <c r="E231" s="367">
        <f t="shared" si="69"/>
        <v>1</v>
      </c>
      <c r="F231" s="367">
        <f t="shared" si="69"/>
        <v>1</v>
      </c>
      <c r="G231" s="367">
        <f t="shared" si="69"/>
        <v>1</v>
      </c>
      <c r="H231" s="367">
        <f t="shared" si="69"/>
        <v>1</v>
      </c>
      <c r="I231" s="367">
        <f t="shared" si="69"/>
        <v>1</v>
      </c>
      <c r="J231" s="367">
        <v>1</v>
      </c>
      <c r="K231" s="367">
        <f t="shared" si="69"/>
        <v>1</v>
      </c>
      <c r="L231" s="367">
        <f t="shared" si="69"/>
        <v>1</v>
      </c>
      <c r="M231" s="367">
        <f t="shared" si="69"/>
        <v>1</v>
      </c>
      <c r="N231" s="367">
        <f t="shared" si="69"/>
        <v>1</v>
      </c>
      <c r="O231" s="367">
        <f t="shared" si="69"/>
        <v>1</v>
      </c>
      <c r="P231" s="367">
        <f t="shared" si="69"/>
        <v>1</v>
      </c>
      <c r="Q231" s="367">
        <f t="shared" si="69"/>
        <v>1</v>
      </c>
      <c r="R231" s="367">
        <f t="shared" si="69"/>
        <v>1</v>
      </c>
      <c r="S231" s="367">
        <f t="shared" si="69"/>
        <v>1</v>
      </c>
      <c r="T231" s="367">
        <f t="shared" si="66"/>
        <v>1</v>
      </c>
      <c r="U231" s="367">
        <f t="shared" si="66"/>
        <v>1</v>
      </c>
      <c r="V231" s="367">
        <f t="shared" si="66"/>
        <v>1</v>
      </c>
      <c r="W231" s="367">
        <f t="shared" si="66"/>
        <v>1</v>
      </c>
      <c r="X231" s="367">
        <f t="shared" si="66"/>
        <v>1</v>
      </c>
      <c r="Y231" s="367">
        <f t="shared" si="66"/>
        <v>1</v>
      </c>
      <c r="Z231" s="367">
        <f t="shared" si="66"/>
        <v>1</v>
      </c>
      <c r="AA231" s="367">
        <f t="shared" si="66"/>
        <v>1</v>
      </c>
      <c r="AB231" s="368">
        <f t="shared" si="66"/>
        <v>1</v>
      </c>
      <c r="AC231" s="370">
        <f t="shared" ca="1" si="67"/>
        <v>1</v>
      </c>
      <c r="AD231" s="369">
        <f t="shared" ca="1" si="68"/>
        <v>1</v>
      </c>
      <c r="AE231" s="362">
        <f t="shared" si="70"/>
        <v>0</v>
      </c>
      <c r="AF231" s="363">
        <f t="shared" ca="1" si="70"/>
        <v>56898421.143605702</v>
      </c>
      <c r="AG231" s="32">
        <f t="shared" ca="1" si="71"/>
        <v>56898421.143605702</v>
      </c>
      <c r="AH231" s="32">
        <f t="shared" ca="1" si="72"/>
        <v>26883672.760564465</v>
      </c>
      <c r="AI231" s="32">
        <f t="shared" ca="1" si="73"/>
        <v>30014748.383041237</v>
      </c>
      <c r="AJ231" s="31">
        <f t="shared" ca="1" si="74"/>
        <v>26883672.760564465</v>
      </c>
      <c r="AK231" s="242">
        <f t="shared" ca="1" si="74"/>
        <v>30014748.383041237</v>
      </c>
      <c r="AL231" s="429">
        <f ca="1">OFFSET(Tariff_SimCalculation!$O$27,,$C$181-rpm_start_year)</f>
        <v>3.9690899154088619E-2</v>
      </c>
    </row>
    <row r="232" spans="2:38" ht="15.75" thickBot="1">
      <c r="B232" s="365" t="s">
        <v>21</v>
      </c>
      <c r="C232" s="412" t="s">
        <v>56</v>
      </c>
      <c r="D232" s="366">
        <f t="shared" si="69"/>
        <v>1</v>
      </c>
      <c r="E232" s="367">
        <f t="shared" si="69"/>
        <v>1</v>
      </c>
      <c r="F232" s="367">
        <f t="shared" si="69"/>
        <v>1</v>
      </c>
      <c r="G232" s="367">
        <f t="shared" si="69"/>
        <v>1</v>
      </c>
      <c r="H232" s="367">
        <f t="shared" si="69"/>
        <v>1</v>
      </c>
      <c r="I232" s="367">
        <f t="shared" si="69"/>
        <v>1</v>
      </c>
      <c r="J232" s="367">
        <f t="shared" si="69"/>
        <v>1</v>
      </c>
      <c r="K232" s="367">
        <v>1</v>
      </c>
      <c r="L232" s="367">
        <f t="shared" si="69"/>
        <v>1</v>
      </c>
      <c r="M232" s="367">
        <f t="shared" si="69"/>
        <v>1</v>
      </c>
      <c r="N232" s="367">
        <f t="shared" si="69"/>
        <v>1</v>
      </c>
      <c r="O232" s="367">
        <f t="shared" si="69"/>
        <v>1</v>
      </c>
      <c r="P232" s="367">
        <f t="shared" si="69"/>
        <v>1</v>
      </c>
      <c r="Q232" s="367">
        <f t="shared" si="69"/>
        <v>1</v>
      </c>
      <c r="R232" s="367">
        <f t="shared" si="69"/>
        <v>1</v>
      </c>
      <c r="S232" s="367">
        <f t="shared" si="69"/>
        <v>1</v>
      </c>
      <c r="T232" s="367">
        <f t="shared" si="66"/>
        <v>1</v>
      </c>
      <c r="U232" s="367">
        <f t="shared" si="66"/>
        <v>1</v>
      </c>
      <c r="V232" s="367">
        <f t="shared" si="66"/>
        <v>1</v>
      </c>
      <c r="W232" s="367">
        <f t="shared" si="66"/>
        <v>1</v>
      </c>
      <c r="X232" s="367">
        <f t="shared" si="66"/>
        <v>1</v>
      </c>
      <c r="Y232" s="367">
        <f t="shared" si="66"/>
        <v>1</v>
      </c>
      <c r="Z232" s="367">
        <f t="shared" si="66"/>
        <v>1</v>
      </c>
      <c r="AA232" s="367">
        <f t="shared" si="66"/>
        <v>1</v>
      </c>
      <c r="AB232" s="368">
        <f t="shared" si="66"/>
        <v>1</v>
      </c>
      <c r="AC232" s="370">
        <f t="shared" ca="1" si="67"/>
        <v>1</v>
      </c>
      <c r="AD232" s="369">
        <f t="shared" ca="1" si="68"/>
        <v>1</v>
      </c>
      <c r="AE232" s="362">
        <f t="shared" ca="1" si="70"/>
        <v>0</v>
      </c>
      <c r="AF232" s="363">
        <f t="shared" si="70"/>
        <v>0</v>
      </c>
      <c r="AG232" s="32">
        <f t="shared" ca="1" si="71"/>
        <v>0</v>
      </c>
      <c r="AH232" s="32">
        <f t="shared" ca="1" si="72"/>
        <v>0</v>
      </c>
      <c r="AI232" s="32">
        <f t="shared" ca="1" si="73"/>
        <v>0</v>
      </c>
      <c r="AJ232" s="31">
        <f t="shared" ca="1" si="74"/>
        <v>0</v>
      </c>
      <c r="AK232" s="242">
        <f t="shared" ca="1" si="74"/>
        <v>0</v>
      </c>
      <c r="AL232" s="429">
        <f ca="1">OFFSET(Tariff_SimCalculation!$O$27,,$C$181-rpm_start_year)</f>
        <v>3.9690899154088619E-2</v>
      </c>
    </row>
    <row r="233" spans="2:38" ht="15.75" thickBot="1">
      <c r="B233" s="365" t="s">
        <v>21</v>
      </c>
      <c r="C233" s="412" t="s">
        <v>25</v>
      </c>
      <c r="D233" s="366">
        <f t="shared" si="69"/>
        <v>1</v>
      </c>
      <c r="E233" s="367">
        <f t="shared" si="69"/>
        <v>1</v>
      </c>
      <c r="F233" s="367">
        <f t="shared" si="69"/>
        <v>1</v>
      </c>
      <c r="G233" s="367">
        <f t="shared" si="69"/>
        <v>1</v>
      </c>
      <c r="H233" s="367">
        <f t="shared" si="69"/>
        <v>1</v>
      </c>
      <c r="I233" s="367">
        <f t="shared" si="69"/>
        <v>1</v>
      </c>
      <c r="J233" s="367">
        <f t="shared" si="69"/>
        <v>1</v>
      </c>
      <c r="K233" s="367">
        <f t="shared" si="69"/>
        <v>1</v>
      </c>
      <c r="L233" s="367">
        <v>1</v>
      </c>
      <c r="M233" s="367">
        <f t="shared" si="69"/>
        <v>1</v>
      </c>
      <c r="N233" s="367">
        <f t="shared" si="69"/>
        <v>1</v>
      </c>
      <c r="O233" s="367">
        <f t="shared" si="69"/>
        <v>1</v>
      </c>
      <c r="P233" s="367">
        <f t="shared" si="69"/>
        <v>1</v>
      </c>
      <c r="Q233" s="367">
        <f t="shared" si="69"/>
        <v>1</v>
      </c>
      <c r="R233" s="367">
        <f t="shared" si="69"/>
        <v>1</v>
      </c>
      <c r="S233" s="367">
        <f t="shared" si="69"/>
        <v>1</v>
      </c>
      <c r="T233" s="367">
        <f t="shared" si="66"/>
        <v>1</v>
      </c>
      <c r="U233" s="367">
        <f t="shared" si="66"/>
        <v>1</v>
      </c>
      <c r="V233" s="367">
        <f t="shared" si="66"/>
        <v>1</v>
      </c>
      <c r="W233" s="367">
        <f t="shared" si="66"/>
        <v>1</v>
      </c>
      <c r="X233" s="367">
        <f t="shared" si="66"/>
        <v>1</v>
      </c>
      <c r="Y233" s="367">
        <f t="shared" si="66"/>
        <v>1</v>
      </c>
      <c r="Z233" s="367">
        <f t="shared" si="66"/>
        <v>1</v>
      </c>
      <c r="AA233" s="367">
        <f t="shared" si="66"/>
        <v>1</v>
      </c>
      <c r="AB233" s="368">
        <f t="shared" si="66"/>
        <v>1</v>
      </c>
      <c r="AC233" s="370">
        <f t="shared" ca="1" si="67"/>
        <v>1</v>
      </c>
      <c r="AD233" s="369">
        <f t="shared" ca="1" si="68"/>
        <v>1</v>
      </c>
      <c r="AE233" s="362">
        <f t="shared" ca="1" si="70"/>
        <v>14807971.364390548</v>
      </c>
      <c r="AF233" s="363">
        <f t="shared" si="70"/>
        <v>0</v>
      </c>
      <c r="AG233" s="32">
        <f t="shared" ca="1" si="71"/>
        <v>14807971.364390548</v>
      </c>
      <c r="AH233" s="32">
        <f t="shared" ca="1" si="72"/>
        <v>6996550.1398244482</v>
      </c>
      <c r="AI233" s="32">
        <f t="shared" ca="1" si="73"/>
        <v>7811421.2245661002</v>
      </c>
      <c r="AJ233" s="31">
        <f t="shared" ca="1" si="74"/>
        <v>6996550.1398244482</v>
      </c>
      <c r="AK233" s="242">
        <f t="shared" ca="1" si="74"/>
        <v>7811421.2245661002</v>
      </c>
      <c r="AL233" s="429">
        <f ca="1">OFFSET(Tariff_SimCalculation!$O$27,,$C$181-rpm_start_year)</f>
        <v>3.9690899154088619E-2</v>
      </c>
    </row>
    <row r="234" spans="2:38" ht="15.75" thickBot="1">
      <c r="B234" s="365" t="s">
        <v>21</v>
      </c>
      <c r="C234" s="413" t="s">
        <v>35</v>
      </c>
      <c r="D234" s="418">
        <f t="shared" si="69"/>
        <v>1</v>
      </c>
      <c r="E234" s="419">
        <f t="shared" si="69"/>
        <v>1</v>
      </c>
      <c r="F234" s="419">
        <f t="shared" si="69"/>
        <v>1</v>
      </c>
      <c r="G234" s="419">
        <f t="shared" si="69"/>
        <v>1</v>
      </c>
      <c r="H234" s="419">
        <f t="shared" si="69"/>
        <v>1</v>
      </c>
      <c r="I234" s="419">
        <f t="shared" si="69"/>
        <v>1</v>
      </c>
      <c r="J234" s="419">
        <f t="shared" si="69"/>
        <v>1</v>
      </c>
      <c r="K234" s="419">
        <f t="shared" si="69"/>
        <v>1</v>
      </c>
      <c r="L234" s="419">
        <f t="shared" si="69"/>
        <v>1</v>
      </c>
      <c r="M234" s="419">
        <v>1</v>
      </c>
      <c r="N234" s="419">
        <v>1</v>
      </c>
      <c r="O234" s="419">
        <v>1</v>
      </c>
      <c r="P234" s="419">
        <f t="shared" si="69"/>
        <v>1</v>
      </c>
      <c r="Q234" s="419">
        <f t="shared" si="69"/>
        <v>1</v>
      </c>
      <c r="R234" s="419">
        <f t="shared" si="69"/>
        <v>1</v>
      </c>
      <c r="S234" s="419">
        <f t="shared" si="69"/>
        <v>1</v>
      </c>
      <c r="T234" s="419">
        <f t="shared" si="66"/>
        <v>1</v>
      </c>
      <c r="U234" s="419">
        <f t="shared" si="66"/>
        <v>1</v>
      </c>
      <c r="V234" s="419">
        <f t="shared" si="66"/>
        <v>1</v>
      </c>
      <c r="W234" s="419">
        <f t="shared" si="66"/>
        <v>1</v>
      </c>
      <c r="X234" s="419">
        <f t="shared" si="66"/>
        <v>1</v>
      </c>
      <c r="Y234" s="419">
        <f t="shared" si="66"/>
        <v>1</v>
      </c>
      <c r="Z234" s="419">
        <f t="shared" si="66"/>
        <v>1</v>
      </c>
      <c r="AA234" s="419">
        <f t="shared" si="66"/>
        <v>1</v>
      </c>
      <c r="AB234" s="420">
        <f t="shared" si="66"/>
        <v>1</v>
      </c>
      <c r="AC234" s="370">
        <f t="shared" ca="1" si="67"/>
        <v>1</v>
      </c>
      <c r="AD234" s="369">
        <f t="shared" ca="1" si="68"/>
        <v>1</v>
      </c>
      <c r="AE234" s="362">
        <f t="shared" ca="1" si="70"/>
        <v>1839918.1040000001</v>
      </c>
      <c r="AF234" s="363">
        <f t="shared" si="70"/>
        <v>0</v>
      </c>
      <c r="AG234" s="32">
        <f t="shared" ca="1" si="71"/>
        <v>1839918.1040000001</v>
      </c>
      <c r="AH234" s="32">
        <f ca="1">AG234-AI234</f>
        <v>869334.42475201271</v>
      </c>
      <c r="AI234" s="32">
        <f t="shared" ca="1" si="73"/>
        <v>970583.67924798734</v>
      </c>
      <c r="AJ234" s="31">
        <f t="shared" ca="1" si="74"/>
        <v>869334.42475201271</v>
      </c>
      <c r="AK234" s="242">
        <f t="shared" ca="1" si="74"/>
        <v>970583.67924798734</v>
      </c>
      <c r="AL234" s="429">
        <f ca="1">OFFSET(Tariff_SimCalculation!$O$27,,$C$181-rpm_start_year)</f>
        <v>3.9690899154088619E-2</v>
      </c>
    </row>
    <row r="235" spans="2:38" ht="15.75" thickBot="1">
      <c r="B235" s="371"/>
      <c r="C235" s="372" t="s">
        <v>269</v>
      </c>
      <c r="D235" s="415">
        <f ca="1">SUMPRODUCT(D225:D234,$AG$225:$AG$234)/SUM($AG$225:$AG$234)</f>
        <v>1</v>
      </c>
      <c r="E235" s="416">
        <f t="shared" ref="E235:AA235" ca="1" si="75">SUMPRODUCT(E225:E234,$AG$225:$AG$234)/SUM($AG$225:$AG$234)</f>
        <v>1</v>
      </c>
      <c r="F235" s="416">
        <f t="shared" ca="1" si="75"/>
        <v>1</v>
      </c>
      <c r="G235" s="416">
        <f t="shared" ca="1" si="75"/>
        <v>1</v>
      </c>
      <c r="H235" s="416">
        <f t="shared" ca="1" si="75"/>
        <v>1</v>
      </c>
      <c r="I235" s="416">
        <f t="shared" ca="1" si="75"/>
        <v>1</v>
      </c>
      <c r="J235" s="416">
        <f t="shared" ca="1" si="75"/>
        <v>1</v>
      </c>
      <c r="K235" s="416">
        <f t="shared" ca="1" si="75"/>
        <v>1</v>
      </c>
      <c r="L235" s="416">
        <f t="shared" ca="1" si="75"/>
        <v>1</v>
      </c>
      <c r="M235" s="416">
        <f t="shared" ca="1" si="75"/>
        <v>1</v>
      </c>
      <c r="N235" s="416">
        <f t="shared" ca="1" si="75"/>
        <v>1</v>
      </c>
      <c r="O235" s="416">
        <f t="shared" ca="1" si="75"/>
        <v>1</v>
      </c>
      <c r="P235" s="416">
        <f t="shared" ca="1" si="75"/>
        <v>1</v>
      </c>
      <c r="Q235" s="416">
        <f t="shared" ca="1" si="75"/>
        <v>1</v>
      </c>
      <c r="R235" s="416">
        <f t="shared" ca="1" si="75"/>
        <v>1</v>
      </c>
      <c r="S235" s="416">
        <f t="shared" ca="1" si="75"/>
        <v>1</v>
      </c>
      <c r="T235" s="416">
        <f t="shared" ca="1" si="75"/>
        <v>1</v>
      </c>
      <c r="U235" s="416">
        <f t="shared" ca="1" si="75"/>
        <v>1</v>
      </c>
      <c r="V235" s="416">
        <f t="shared" ca="1" si="75"/>
        <v>1</v>
      </c>
      <c r="W235" s="416">
        <f t="shared" ca="1" si="75"/>
        <v>1</v>
      </c>
      <c r="X235" s="416">
        <f t="shared" ca="1" si="75"/>
        <v>1</v>
      </c>
      <c r="Y235" s="416">
        <f t="shared" ca="1" si="75"/>
        <v>1</v>
      </c>
      <c r="Z235" s="416">
        <f t="shared" ca="1" si="75"/>
        <v>1</v>
      </c>
      <c r="AA235" s="416">
        <f t="shared" ca="1" si="75"/>
        <v>1</v>
      </c>
      <c r="AB235" s="417">
        <f ca="1">SUMPRODUCT(AB225:AB234,$AG$225:$AG$234)/SUM($AG$225:$AG$234)</f>
        <v>1</v>
      </c>
      <c r="AC235" s="373"/>
      <c r="AD235" s="374"/>
      <c r="AE235" s="362">
        <f t="shared" ca="1" si="70"/>
        <v>11190000</v>
      </c>
      <c r="AF235" s="363">
        <f t="shared" si="70"/>
        <v>0</v>
      </c>
      <c r="AG235" s="375"/>
      <c r="AH235" s="375"/>
      <c r="AI235" s="375"/>
      <c r="AJ235" s="375"/>
      <c r="AK235" s="375"/>
      <c r="AL235" s="427"/>
    </row>
    <row r="236" spans="2:38">
      <c r="B236" s="357" t="s">
        <v>261</v>
      </c>
      <c r="C236" s="361" t="s">
        <v>270</v>
      </c>
      <c r="D236" s="376">
        <f t="array" ref="D236:AB236" ca="1">TRANSPOSE($D$195:$D$219)</f>
        <v>11190000</v>
      </c>
      <c r="E236" s="376">
        <f ca="1"/>
        <v>691039.41683228605</v>
      </c>
      <c r="F236" s="376">
        <f ca="1"/>
        <v>2652731.3170000003</v>
      </c>
      <c r="G236" s="376">
        <f ca="1"/>
        <v>23499000.000000007</v>
      </c>
      <c r="H236" s="376">
        <f ca="1"/>
        <v>0</v>
      </c>
      <c r="I236" s="376">
        <f ca="1"/>
        <v>6550835.1161917783</v>
      </c>
      <c r="J236" s="376">
        <v>0</v>
      </c>
      <c r="K236" s="376">
        <f ca="1"/>
        <v>0</v>
      </c>
      <c r="L236" s="376">
        <f ca="1"/>
        <v>28445975.851511769</v>
      </c>
      <c r="M236" s="376">
        <f ca="1"/>
        <v>11491962.507024717</v>
      </c>
      <c r="N236" s="376">
        <f ca="1"/>
        <v>0</v>
      </c>
      <c r="O236" s="376">
        <f ca="1"/>
        <v>0</v>
      </c>
      <c r="P236" s="376">
        <f ca="1"/>
        <v>0</v>
      </c>
      <c r="Q236" s="376">
        <f ca="1"/>
        <v>5896827.8118992988</v>
      </c>
      <c r="R236" s="376">
        <f ca="1"/>
        <v>0</v>
      </c>
      <c r="S236" s="376">
        <f ca="1"/>
        <v>53108209.681075983</v>
      </c>
      <c r="T236" s="376">
        <v>0</v>
      </c>
      <c r="U236" s="376">
        <v>0</v>
      </c>
      <c r="V236" s="376">
        <v>0</v>
      </c>
      <c r="W236" s="376">
        <v>0</v>
      </c>
      <c r="X236" s="376">
        <v>0</v>
      </c>
      <c r="Y236" s="376">
        <v>0</v>
      </c>
      <c r="Z236" s="376">
        <v>0</v>
      </c>
      <c r="AA236" s="376">
        <v>0</v>
      </c>
      <c r="AB236" s="376">
        <v>0</v>
      </c>
    </row>
    <row r="237" spans="2:38" ht="15.75" thickBot="1">
      <c r="B237" s="377" t="s">
        <v>262</v>
      </c>
      <c r="C237" s="374" t="s">
        <v>270</v>
      </c>
      <c r="D237" s="378">
        <f t="array" ref="D237:AB237">TRANSPOSE($E$195:$E$219)</f>
        <v>0</v>
      </c>
      <c r="E237" s="378">
        <v>0</v>
      </c>
      <c r="F237" s="378">
        <v>0</v>
      </c>
      <c r="G237" s="378">
        <v>0</v>
      </c>
      <c r="H237" s="378">
        <v>0</v>
      </c>
      <c r="I237" s="378">
        <v>0</v>
      </c>
      <c r="J237" s="378">
        <f ca="1"/>
        <v>37122472.878033899</v>
      </c>
      <c r="K237" s="378">
        <v>0</v>
      </c>
      <c r="L237" s="378">
        <v>0</v>
      </c>
      <c r="M237" s="378">
        <v>0</v>
      </c>
      <c r="N237" s="378">
        <v>0</v>
      </c>
      <c r="O237" s="378">
        <v>0</v>
      </c>
      <c r="P237" s="378">
        <v>0</v>
      </c>
      <c r="Q237" s="378">
        <v>0</v>
      </c>
      <c r="R237" s="378">
        <v>0</v>
      </c>
      <c r="S237" s="378">
        <v>0</v>
      </c>
      <c r="T237" s="378">
        <f ca="1"/>
        <v>2186104.7978472682</v>
      </c>
      <c r="U237" s="378">
        <f ca="1"/>
        <v>327926.63542057277</v>
      </c>
      <c r="V237" s="378">
        <f ca="1"/>
        <v>435526.36414881586</v>
      </c>
      <c r="W237" s="378">
        <f ca="1"/>
        <v>3840262.7975840811</v>
      </c>
      <c r="X237" s="378">
        <f ca="1"/>
        <v>217244.93010906663</v>
      </c>
      <c r="Y237" s="378">
        <f ca="1"/>
        <v>108612.63105139592</v>
      </c>
      <c r="Z237" s="378">
        <f ca="1"/>
        <v>43312.883418391626</v>
      </c>
      <c r="AA237" s="378">
        <f ca="1"/>
        <v>216519.18067752608</v>
      </c>
      <c r="AB237" s="378">
        <f ca="1"/>
        <v>559631.48374288145</v>
      </c>
    </row>
    <row r="238" spans="2:38" ht="15.75" thickBot="1">
      <c r="B238" s="379" t="s">
        <v>263</v>
      </c>
      <c r="C238" s="380" t="s">
        <v>270</v>
      </c>
      <c r="D238" s="381">
        <f t="shared" ref="D238:AB238" ca="1" si="76">D236+D237</f>
        <v>11190000</v>
      </c>
      <c r="E238" s="382">
        <f t="shared" ca="1" si="76"/>
        <v>691039.41683228605</v>
      </c>
      <c r="F238" s="382">
        <f t="shared" ca="1" si="76"/>
        <v>2652731.3170000003</v>
      </c>
      <c r="G238" s="382">
        <f t="shared" ca="1" si="76"/>
        <v>23499000.000000007</v>
      </c>
      <c r="H238" s="382">
        <f t="shared" ca="1" si="76"/>
        <v>0</v>
      </c>
      <c r="I238" s="382">
        <f t="shared" ca="1" si="76"/>
        <v>6550835.1161917783</v>
      </c>
      <c r="J238" s="382">
        <f t="shared" ca="1" si="76"/>
        <v>37122472.878033899</v>
      </c>
      <c r="K238" s="382">
        <f t="shared" ca="1" si="76"/>
        <v>0</v>
      </c>
      <c r="L238" s="382">
        <f t="shared" ca="1" si="76"/>
        <v>28445975.851511769</v>
      </c>
      <c r="M238" s="382">
        <f t="shared" ca="1" si="76"/>
        <v>11491962.507024717</v>
      </c>
      <c r="N238" s="382">
        <f t="shared" ca="1" si="76"/>
        <v>0</v>
      </c>
      <c r="O238" s="382">
        <f t="shared" ca="1" si="76"/>
        <v>0</v>
      </c>
      <c r="P238" s="382">
        <f t="shared" ca="1" si="76"/>
        <v>0</v>
      </c>
      <c r="Q238" s="382">
        <f t="shared" ca="1" si="76"/>
        <v>5896827.8118992988</v>
      </c>
      <c r="R238" s="382">
        <f t="shared" ca="1" si="76"/>
        <v>0</v>
      </c>
      <c r="S238" s="382">
        <f t="shared" ca="1" si="76"/>
        <v>53108209.681075983</v>
      </c>
      <c r="T238" s="382">
        <f t="shared" ca="1" si="76"/>
        <v>2186104.7978472682</v>
      </c>
      <c r="U238" s="382">
        <f t="shared" ca="1" si="76"/>
        <v>327926.63542057277</v>
      </c>
      <c r="V238" s="382">
        <f t="shared" ca="1" si="76"/>
        <v>435526.36414881586</v>
      </c>
      <c r="W238" s="382">
        <f t="shared" ca="1" si="76"/>
        <v>3840262.7975840811</v>
      </c>
      <c r="X238" s="382">
        <f t="shared" ca="1" si="76"/>
        <v>217244.93010906663</v>
      </c>
      <c r="Y238" s="382">
        <f t="shared" ca="1" si="76"/>
        <v>108612.63105139592</v>
      </c>
      <c r="Z238" s="382">
        <f t="shared" ca="1" si="76"/>
        <v>43312.883418391626</v>
      </c>
      <c r="AA238" s="382">
        <f t="shared" ca="1" si="76"/>
        <v>216519.18067752608</v>
      </c>
      <c r="AB238" s="383">
        <f t="shared" ca="1" si="76"/>
        <v>559631.48374288145</v>
      </c>
    </row>
    <row r="239" spans="2:38" ht="15.75" thickBot="1">
      <c r="B239" s="384" t="s">
        <v>271</v>
      </c>
      <c r="C239" s="385" t="str">
        <f>"in kWh/a "&amp;IF(C223="Yes","*km","")</f>
        <v xml:space="preserve">in kWh/a </v>
      </c>
      <c r="D239" s="422">
        <f ca="1">D238*D235</f>
        <v>11190000</v>
      </c>
      <c r="E239" s="423">
        <f ca="1">E238*E235</f>
        <v>691039.41683228605</v>
      </c>
      <c r="F239" s="423">
        <f ca="1">F238*F235</f>
        <v>2652731.3170000003</v>
      </c>
      <c r="G239" s="423">
        <f ca="1">G238*G235</f>
        <v>23499000.000000007</v>
      </c>
      <c r="H239" s="423">
        <f ca="1">H238*H235</f>
        <v>0</v>
      </c>
      <c r="I239" s="423">
        <f t="shared" ref="I239:AB239" ca="1" si="77">I238*I235</f>
        <v>6550835.1161917783</v>
      </c>
      <c r="J239" s="423">
        <f t="shared" ca="1" si="77"/>
        <v>37122472.878033899</v>
      </c>
      <c r="K239" s="423">
        <f t="shared" ca="1" si="77"/>
        <v>0</v>
      </c>
      <c r="L239" s="423">
        <f t="shared" ca="1" si="77"/>
        <v>28445975.851511769</v>
      </c>
      <c r="M239" s="423">
        <f t="shared" ca="1" si="77"/>
        <v>11491962.507024717</v>
      </c>
      <c r="N239" s="423">
        <f t="shared" ca="1" si="77"/>
        <v>0</v>
      </c>
      <c r="O239" s="423">
        <f t="shared" ca="1" si="77"/>
        <v>0</v>
      </c>
      <c r="P239" s="423">
        <f t="shared" ca="1" si="77"/>
        <v>0</v>
      </c>
      <c r="Q239" s="423">
        <f t="shared" ca="1" si="77"/>
        <v>5896827.8118992988</v>
      </c>
      <c r="R239" s="423">
        <f t="shared" ca="1" si="77"/>
        <v>0</v>
      </c>
      <c r="S239" s="423">
        <f t="shared" ca="1" si="77"/>
        <v>53108209.681075983</v>
      </c>
      <c r="T239" s="423">
        <f t="shared" ca="1" si="77"/>
        <v>2186104.7978472682</v>
      </c>
      <c r="U239" s="423">
        <f t="shared" ca="1" si="77"/>
        <v>327926.63542057277</v>
      </c>
      <c r="V239" s="423">
        <f t="shared" ca="1" si="77"/>
        <v>435526.36414881586</v>
      </c>
      <c r="W239" s="423">
        <f t="shared" ca="1" si="77"/>
        <v>3840262.7975840811</v>
      </c>
      <c r="X239" s="423">
        <f t="shared" ca="1" si="77"/>
        <v>217244.93010906663</v>
      </c>
      <c r="Y239" s="423">
        <f t="shared" ca="1" si="77"/>
        <v>108612.63105139592</v>
      </c>
      <c r="Z239" s="423">
        <f t="shared" ca="1" si="77"/>
        <v>43312.883418391626</v>
      </c>
      <c r="AA239" s="423">
        <f t="shared" ca="1" si="77"/>
        <v>216519.18067752608</v>
      </c>
      <c r="AB239" s="424">
        <f t="shared" ca="1" si="77"/>
        <v>559631.48374288145</v>
      </c>
    </row>
    <row r="240" spans="2:38" ht="15.75" thickBot="1">
      <c r="B240" s="377" t="s">
        <v>272</v>
      </c>
      <c r="C240" s="421" t="s">
        <v>124</v>
      </c>
      <c r="D240" s="428">
        <f ca="1">OFFSET(Tariff_SimCalculation!$O$28,,$C$181-rpm_start_year)</f>
        <v>0.13184540772765832</v>
      </c>
      <c r="E240" s="428">
        <f ca="1">OFFSET(Tariff_SimCalculation!$O$28,,$C$181-rpm_start_year)</f>
        <v>0.13184540772765832</v>
      </c>
      <c r="F240" s="428">
        <f ca="1">OFFSET(Tariff_SimCalculation!$O$28,,$C$181-rpm_start_year)</f>
        <v>0.13184540772765832</v>
      </c>
      <c r="G240" s="428">
        <f ca="1">OFFSET(Tariff_SimCalculation!$O$28,,$C$181-rpm_start_year)</f>
        <v>0.13184540772765832</v>
      </c>
      <c r="H240" s="428">
        <f ca="1">OFFSET(Tariff_SimCalculation!$O$28,,$C$181-rpm_start_year)</f>
        <v>0.13184540772765832</v>
      </c>
      <c r="I240" s="428">
        <f ca="1">OFFSET(Tariff_SimCalculation!$O$28,,$C$181-rpm_start_year)</f>
        <v>0.13184540772765832</v>
      </c>
      <c r="J240" s="428">
        <f ca="1">OFFSET(Tariff_SimCalculation!$O$28,,$C$181-rpm_start_year)</f>
        <v>0.13184540772765832</v>
      </c>
      <c r="K240" s="428">
        <f ca="1">OFFSET(Tariff_SimCalculation!$O$28,,$C$181-rpm_start_year)</f>
        <v>0.13184540772765832</v>
      </c>
      <c r="L240" s="428">
        <f ca="1">OFFSET(Tariff_SimCalculation!$O$28,,$C$181-rpm_start_year)</f>
        <v>0.13184540772765832</v>
      </c>
      <c r="M240" s="428">
        <f ca="1">OFFSET(Tariff_SimCalculation!$O$28,,$C$181-rpm_start_year)</f>
        <v>0.13184540772765832</v>
      </c>
      <c r="N240" s="428">
        <f ca="1">OFFSET(Tariff_SimCalculation!$O$28,,$C$181-rpm_start_year)</f>
        <v>0.13184540772765832</v>
      </c>
      <c r="O240" s="428">
        <f ca="1">OFFSET(Tariff_SimCalculation!$O$28,,$C$181-rpm_start_year)</f>
        <v>0.13184540772765832</v>
      </c>
      <c r="P240" s="428">
        <f ca="1">OFFSET(Tariff_SimCalculation!$O$28,,$C$181-rpm_start_year)</f>
        <v>0.13184540772765832</v>
      </c>
      <c r="Q240" s="428">
        <f ca="1">OFFSET(Tariff_SimCalculation!$O$28,,$C$181-rpm_start_year)</f>
        <v>0.13184540772765832</v>
      </c>
      <c r="R240" s="428">
        <f ca="1">OFFSET(Tariff_SimCalculation!$O$28,,$C$181-rpm_start_year)</f>
        <v>0.13184540772765832</v>
      </c>
      <c r="S240" s="428">
        <f ca="1">OFFSET(Tariff_SimCalculation!$O$28,,$C$181-rpm_start_year)</f>
        <v>0.13184540772765832</v>
      </c>
      <c r="T240" s="428">
        <f ca="1">OFFSET(Tariff_SimCalculation!$O$28,,$C$181-rpm_start_year)</f>
        <v>0.13184540772765832</v>
      </c>
      <c r="U240" s="428">
        <f ca="1">OFFSET(Tariff_SimCalculation!$O$28,,$C$181-rpm_start_year)</f>
        <v>0.13184540772765832</v>
      </c>
      <c r="V240" s="428">
        <f ca="1">OFFSET(Tariff_SimCalculation!$O$28,,$C$181-rpm_start_year)</f>
        <v>0.13184540772765832</v>
      </c>
      <c r="W240" s="428">
        <f ca="1">OFFSET(Tariff_SimCalculation!$O$28,,$C$181-rpm_start_year)</f>
        <v>0.13184540772765832</v>
      </c>
      <c r="X240" s="428">
        <f ca="1">OFFSET(Tariff_SimCalculation!$O$28,,$C$181-rpm_start_year)</f>
        <v>0.13184540772765832</v>
      </c>
      <c r="Y240" s="428">
        <f ca="1">OFFSET(Tariff_SimCalculation!$O$28,,$C$181-rpm_start_year)</f>
        <v>0.13184540772765832</v>
      </c>
      <c r="Z240" s="428">
        <f ca="1">OFFSET(Tariff_SimCalculation!$O$28,,$C$181-rpm_start_year)</f>
        <v>0.13184540772765832</v>
      </c>
      <c r="AA240" s="428">
        <f ca="1">OFFSET(Tariff_SimCalculation!$O$28,,$C$181-rpm_start_year)</f>
        <v>0.13184540772765832</v>
      </c>
      <c r="AB240" s="428">
        <f ca="1">OFFSET(Tariff_SimCalculation!$O$28,,$C$181-rpm_start_year)</f>
        <v>0.13184540772765832</v>
      </c>
    </row>
    <row r="241" spans="3:9">
      <c r="C241" s="42"/>
    </row>
    <row r="242" spans="3:9" ht="15.75" thickBot="1"/>
    <row r="243" spans="3:9">
      <c r="D243" s="386" t="s">
        <v>273</v>
      </c>
      <c r="E243" s="387">
        <f ca="1">SUMPRODUCT(AH225:AH234,AL225:AL234)</f>
        <v>3915952.6600666312</v>
      </c>
    </row>
    <row r="244" spans="3:9">
      <c r="D244" s="388" t="s">
        <v>274</v>
      </c>
      <c r="E244" s="389">
        <f ca="1">SUMPRODUCT(AI225:AI234,AL225:AL234)</f>
        <v>4372034.0899333693</v>
      </c>
    </row>
    <row r="245" spans="3:9">
      <c r="D245" s="388" t="s">
        <v>93</v>
      </c>
      <c r="E245" s="390">
        <f ca="1">SUMPRODUCT(D238:AB238*D240:AB240*(D223:AB223="Intra"))</f>
        <v>10340917.701917356</v>
      </c>
    </row>
    <row r="246" spans="3:9" ht="15.75" thickBot="1">
      <c r="D246" s="391" t="s">
        <v>94</v>
      </c>
      <c r="E246" s="392">
        <f ca="1">SUMPRODUCT(D238:AB238*D240:AB240*(D223:AB223="Cross"))</f>
        <v>14523042.548082646</v>
      </c>
    </row>
    <row r="247" spans="3:9">
      <c r="D247" s="393" t="s">
        <v>64</v>
      </c>
      <c r="E247" s="394">
        <f ca="1">E243+E245</f>
        <v>14256870.361983987</v>
      </c>
    </row>
    <row r="248" spans="3:9" ht="15.75" thickBot="1">
      <c r="D248" s="395" t="s">
        <v>65</v>
      </c>
      <c r="E248" s="396">
        <f ca="1">E244+E246</f>
        <v>18895076.638016015</v>
      </c>
      <c r="G248" s="63"/>
    </row>
    <row r="249" spans="3:9" ht="15.75" thickBot="1">
      <c r="D249" s="397"/>
      <c r="E249" s="398"/>
    </row>
    <row r="250" spans="3:9">
      <c r="D250" s="386" t="s">
        <v>66</v>
      </c>
      <c r="E250" s="399">
        <f ca="1">SUM(AJ225:AJ234)</f>
        <v>98661223.190335393</v>
      </c>
    </row>
    <row r="251" spans="3:9" ht="15.75" thickBot="1">
      <c r="D251" s="391" t="s">
        <v>67</v>
      </c>
      <c r="E251" s="400">
        <f ca="1">SUMPRODUCT(D239:AB239*(D223:AB223="Intra"))</f>
        <v>78432141.704000011</v>
      </c>
      <c r="I251" s="67"/>
    </row>
    <row r="252" spans="3:9" ht="15.75" thickBot="1">
      <c r="D252" s="401" t="s">
        <v>68</v>
      </c>
      <c r="E252" s="402">
        <f ca="1">E250+E251</f>
        <v>177093364.89433539</v>
      </c>
      <c r="G252" s="63"/>
    </row>
    <row r="253" spans="3:9">
      <c r="D253" s="403" t="s">
        <v>70</v>
      </c>
      <c r="E253" s="404">
        <f ca="1">SUM(AK225:AK234)</f>
        <v>110152054.57956977</v>
      </c>
    </row>
    <row r="254" spans="3:9" ht="15.75" thickBot="1">
      <c r="D254" s="391" t="s">
        <v>72</v>
      </c>
      <c r="E254" s="400">
        <f ca="1">SUMPRODUCT(D239:AB239*(D223:AB223="Cross"))</f>
        <v>110152054.57956976</v>
      </c>
    </row>
    <row r="255" spans="3:9" ht="15.75" thickBot="1">
      <c r="D255" s="401" t="s">
        <v>73</v>
      </c>
      <c r="E255" s="402">
        <f ca="1">E253+E254</f>
        <v>220304109.15913951</v>
      </c>
    </row>
    <row r="256" spans="3:9">
      <c r="D256" s="5"/>
      <c r="E256" s="5"/>
      <c r="F256" s="5"/>
    </row>
    <row r="257" spans="4:6" ht="15.75" thickBot="1">
      <c r="D257" s="5"/>
      <c r="E257" s="5"/>
      <c r="F257" s="5"/>
    </row>
    <row r="258" spans="4:6" ht="15.75" thickBot="1">
      <c r="D258" s="5"/>
      <c r="E258" s="405" t="s">
        <v>74</v>
      </c>
      <c r="F258" s="5"/>
    </row>
    <row r="259" spans="4:6">
      <c r="D259" s="406" t="s">
        <v>69</v>
      </c>
      <c r="E259" s="430">
        <f ca="1">E247/E252*1000</f>
        <v>80.504825070608931</v>
      </c>
      <c r="F259" s="5"/>
    </row>
    <row r="260" spans="4:6">
      <c r="D260" s="407" t="s">
        <v>71</v>
      </c>
      <c r="E260" s="431">
        <f ca="1">E248/E255*1000</f>
        <v>85.768153440873462</v>
      </c>
    </row>
    <row r="261" spans="4:6" ht="15.75" thickBot="1">
      <c r="D261" s="408" t="s">
        <v>275</v>
      </c>
      <c r="E261" s="409">
        <f ca="1">2*(ABS(E259-E260))/(E259+E260)</f>
        <v>6.330948561074895E-2</v>
      </c>
    </row>
    <row r="262" spans="4:6" ht="30">
      <c r="E262" s="410" t="str">
        <f ca="1">IF(E261&lt;0.1,"justification not required","justification required!")</f>
        <v>justification not required</v>
      </c>
    </row>
    <row r="273" spans="8:9">
      <c r="H273"/>
      <c r="I273"/>
    </row>
    <row r="274" spans="8:9">
      <c r="H274"/>
      <c r="I274"/>
    </row>
    <row r="275" spans="8:9">
      <c r="H275"/>
      <c r="I275"/>
    </row>
    <row r="276" spans="8:9">
      <c r="H276"/>
      <c r="I276"/>
    </row>
    <row r="277" spans="8:9">
      <c r="H277"/>
      <c r="I277"/>
    </row>
    <row r="278" spans="8:9">
      <c r="H278"/>
      <c r="I278"/>
    </row>
    <row r="279" spans="8:9">
      <c r="H279"/>
      <c r="I279"/>
    </row>
    <row r="280" spans="8:9">
      <c r="H280"/>
      <c r="I280"/>
    </row>
    <row r="281" spans="8:9">
      <c r="H281"/>
      <c r="I281"/>
    </row>
    <row r="282" spans="8:9">
      <c r="H282"/>
      <c r="I282"/>
    </row>
  </sheetData>
  <mergeCells count="1">
    <mergeCell ref="J175:K175"/>
  </mergeCells>
  <conditionalFormatting sqref="A56:A80">
    <cfRule type="cellIs" dxfId="107" priority="34" operator="equal">
      <formula>1</formula>
    </cfRule>
  </conditionalFormatting>
  <conditionalFormatting sqref="B128:B129">
    <cfRule type="cellIs" dxfId="106" priority="18" operator="equal">
      <formula>0</formula>
    </cfRule>
  </conditionalFormatting>
  <conditionalFormatting sqref="B141">
    <cfRule type="cellIs" dxfId="105" priority="10" operator="equal">
      <formula>0</formula>
    </cfRule>
  </conditionalFormatting>
  <conditionalFormatting sqref="B145:B156">
    <cfRule type="cellIs" dxfId="104" priority="11" operator="equal">
      <formula>0</formula>
    </cfRule>
  </conditionalFormatting>
  <conditionalFormatting sqref="C1">
    <cfRule type="cellIs" dxfId="103" priority="35" operator="equal">
      <formula>"OK"</formula>
    </cfRule>
  </conditionalFormatting>
  <conditionalFormatting sqref="D128:D129">
    <cfRule type="cellIs" dxfId="102" priority="27" operator="equal">
      <formula>0</formula>
    </cfRule>
  </conditionalFormatting>
  <conditionalFormatting sqref="D132:D133">
    <cfRule type="cellIs" dxfId="101" priority="24" operator="equal">
      <formula>0</formula>
    </cfRule>
  </conditionalFormatting>
  <conditionalFormatting sqref="D217:D219">
    <cfRule type="dataBar" priority="5">
      <dataBar>
        <cfvo type="min"/>
        <cfvo type="max"/>
        <color rgb="FF638EC6"/>
      </dataBar>
      <extLst>
        <ext xmlns:x14="http://schemas.microsoft.com/office/spreadsheetml/2009/9/main" uri="{B025F937-C7B1-47D3-B67F-A62EFF666E3E}">
          <x14:id>{47526379-CA72-429C-AC32-83C2D5CCA2EF}</x14:id>
        </ext>
      </extLst>
    </cfRule>
  </conditionalFormatting>
  <conditionalFormatting sqref="D236:AB237">
    <cfRule type="dataBar" priority="6">
      <dataBar>
        <cfvo type="min"/>
        <cfvo type="max"/>
        <color rgb="FF638EC6"/>
      </dataBar>
      <extLst>
        <ext xmlns:x14="http://schemas.microsoft.com/office/spreadsheetml/2009/9/main" uri="{B025F937-C7B1-47D3-B67F-A62EFF666E3E}">
          <x14:id>{D6551772-894B-47B5-9C7B-C9EED5F433A4}</x14:id>
        </ext>
      </extLst>
    </cfRule>
  </conditionalFormatting>
  <conditionalFormatting sqref="D107:AC118 AS108:AT108 D123:D126">
    <cfRule type="cellIs" dxfId="100" priority="32" operator="equal">
      <formula>0</formula>
    </cfRule>
  </conditionalFormatting>
  <conditionalFormatting sqref="D143:AE143 D144:AC154">
    <cfRule type="cellIs" dxfId="99" priority="14" operator="equal">
      <formula>0</formula>
    </cfRule>
  </conditionalFormatting>
  <conditionalFormatting sqref="D224:AL224">
    <cfRule type="cellIs" dxfId="98" priority="8" operator="equal">
      <formula>0</formula>
    </cfRule>
  </conditionalFormatting>
  <conditionalFormatting sqref="E126:F126">
    <cfRule type="cellIs" dxfId="97" priority="17" operator="equal">
      <formula>0</formula>
    </cfRule>
  </conditionalFormatting>
  <conditionalFormatting sqref="E129:M129 Z129:AC129">
    <cfRule type="cellIs" dxfId="96" priority="26" operator="equal">
      <formula>0</formula>
    </cfRule>
  </conditionalFormatting>
  <conditionalFormatting sqref="E119:AC120">
    <cfRule type="cellIs" dxfId="95" priority="31" operator="equal">
      <formula>0</formula>
    </cfRule>
  </conditionalFormatting>
  <conditionalFormatting sqref="E124:AC124">
    <cfRule type="cellIs" dxfId="94" priority="28" operator="equal">
      <formula>0</formula>
    </cfRule>
  </conditionalFormatting>
  <conditionalFormatting sqref="E133:AC133">
    <cfRule type="cellIs" dxfId="93" priority="23" operator="equal">
      <formula>0</formula>
    </cfRule>
  </conditionalFormatting>
  <conditionalFormatting sqref="E155:AC156">
    <cfRule type="cellIs" dxfId="92" priority="13" operator="equal">
      <formula>0</formula>
    </cfRule>
  </conditionalFormatting>
  <conditionalFormatting sqref="G40">
    <cfRule type="cellIs" dxfId="91" priority="9" operator="equal">
      <formula>FALSE</formula>
    </cfRule>
  </conditionalFormatting>
  <conditionalFormatting sqref="L126:M126">
    <cfRule type="cellIs" dxfId="90" priority="16" operator="equal">
      <formula>0</formula>
    </cfRule>
  </conditionalFormatting>
  <conditionalFormatting sqref="N135:AB135 N136:AC138">
    <cfRule type="cellIs" dxfId="89" priority="39" operator="equal">
      <formula>0</formula>
    </cfRule>
  </conditionalFormatting>
  <conditionalFormatting sqref="O53:O79 P67:R68">
    <cfRule type="expression" dxfId="88" priority="4">
      <formula>$O53&lt;$M53</formula>
    </cfRule>
  </conditionalFormatting>
  <conditionalFormatting sqref="P68">
    <cfRule type="expression" dxfId="87" priority="2">
      <formula>$O68&lt;$M68</formula>
    </cfRule>
  </conditionalFormatting>
  <conditionalFormatting sqref="T135:U138">
    <cfRule type="cellIs" dxfId="86" priority="40" operator="equal">
      <formula>0</formula>
    </cfRule>
  </conditionalFormatting>
  <conditionalFormatting sqref="V7:V28">
    <cfRule type="dataBar" priority="42">
      <dataBar>
        <cfvo type="min"/>
        <cfvo type="max"/>
        <color theme="9"/>
      </dataBar>
      <extLst>
        <ext xmlns:x14="http://schemas.microsoft.com/office/spreadsheetml/2009/9/main" uri="{B025F937-C7B1-47D3-B67F-A62EFF666E3E}">
          <x14:id>{976FBF3E-BEBD-4D50-B38D-4AA4EF852801}</x14:id>
        </ext>
      </extLst>
    </cfRule>
  </conditionalFormatting>
  <conditionalFormatting sqref="V37:V42">
    <cfRule type="dataBar" priority="41">
      <dataBar>
        <cfvo type="min"/>
        <cfvo type="max"/>
        <color theme="9"/>
      </dataBar>
      <extLst>
        <ext xmlns:x14="http://schemas.microsoft.com/office/spreadsheetml/2009/9/main" uri="{B025F937-C7B1-47D3-B67F-A62EFF666E3E}">
          <x14:id>{A8288132-5635-4AC3-9E41-868B4ADC7498}</x14:id>
        </ext>
      </extLst>
    </cfRule>
  </conditionalFormatting>
  <conditionalFormatting sqref="Z126:AC126">
    <cfRule type="cellIs" dxfId="85" priority="15" operator="equal">
      <formula>0</formula>
    </cfRule>
  </conditionalFormatting>
  <conditionalFormatting sqref="AD109:AE118">
    <cfRule type="cellIs" dxfId="84" priority="30" operator="equal">
      <formula>0</formula>
    </cfRule>
  </conditionalFormatting>
  <conditionalFormatting sqref="AD145:AE154">
    <cfRule type="cellIs" dxfId="83" priority="12" operator="equal">
      <formula>0</formula>
    </cfRule>
  </conditionalFormatting>
  <conditionalFormatting sqref="AD134:AI138">
    <cfRule type="cellIs" dxfId="82" priority="36" operator="equal">
      <formula>0</formula>
    </cfRule>
  </conditionalFormatting>
  <conditionalFormatting sqref="AE225:AF235">
    <cfRule type="dataBar" priority="7">
      <dataBar>
        <cfvo type="min"/>
        <cfvo type="max"/>
        <color rgb="FF638EC6"/>
      </dataBar>
      <extLst>
        <ext xmlns:x14="http://schemas.microsoft.com/office/spreadsheetml/2009/9/main" uri="{B025F937-C7B1-47D3-B67F-A62EFF666E3E}">
          <x14:id>{A3B91F3C-BDD1-470C-BCAA-4A41AAD0668A}</x14:id>
        </ext>
      </extLst>
    </cfRule>
  </conditionalFormatting>
  <conditionalFormatting sqref="AG104">
    <cfRule type="cellIs" dxfId="81" priority="3" operator="equal">
      <formula>0</formula>
    </cfRule>
  </conditionalFormatting>
  <conditionalFormatting sqref="AI109:AI118">
    <cfRule type="cellIs" dxfId="80" priority="29" operator="equal">
      <formula>0</formula>
    </cfRule>
  </conditionalFormatting>
  <conditionalFormatting sqref="AJ135:AK135 AJ138:AK138">
    <cfRule type="cellIs" dxfId="79" priority="38" operator="equal">
      <formula>0</formula>
    </cfRule>
  </conditionalFormatting>
  <conditionalFormatting sqref="AK108:AL108">
    <cfRule type="cellIs" dxfId="78" priority="21" operator="equal">
      <formula>0</formula>
    </cfRule>
  </conditionalFormatting>
  <conditionalFormatting sqref="AL109:AL118">
    <cfRule type="cellIs" dxfId="77" priority="20" operator="equal">
      <formula>0</formula>
    </cfRule>
  </conditionalFormatting>
  <conditionalFormatting sqref="AL134:AL138">
    <cfRule type="cellIs" dxfId="76" priority="33" operator="equal">
      <formula>0</formula>
    </cfRule>
  </conditionalFormatting>
  <conditionalFormatting sqref="AM134:AM135">
    <cfRule type="cellIs" dxfId="75" priority="37" operator="equal">
      <formula>0</formula>
    </cfRule>
  </conditionalFormatting>
  <conditionalFormatting sqref="AO108:AP108">
    <cfRule type="cellIs" dxfId="74" priority="25" operator="equal">
      <formula>0</formula>
    </cfRule>
  </conditionalFormatting>
  <conditionalFormatting sqref="AP109:AP118">
    <cfRule type="cellIs" dxfId="73" priority="19" operator="equal">
      <formula>0</formula>
    </cfRule>
  </conditionalFormatting>
  <conditionalFormatting sqref="AT109:AT118">
    <cfRule type="cellIs" dxfId="72" priority="22" operator="equal">
      <formula>0</formula>
    </cfRule>
  </conditionalFormatting>
  <conditionalFormatting sqref="AZ109:BX118">
    <cfRule type="colorScale" priority="1">
      <colorScale>
        <cfvo type="min"/>
        <cfvo type="max"/>
        <color rgb="FFFCFCFF"/>
        <color rgb="FF63BE7B"/>
      </colorScale>
    </cfRule>
  </conditionalFormatting>
  <dataValidations disablePrompts="1" count="1">
    <dataValidation type="list" allowBlank="1" showInputMessage="1" showErrorMessage="1" sqref="C223 C143" xr:uid="{1504B4DE-3B88-4AAB-BF27-038E676CAA83}">
      <formula1>#REF!</formula1>
    </dataValidation>
  </dataValidations>
  <pageMargins left="0.7" right="0.7" top="0.78740157499999996" bottom="0.78740157499999996"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dataBar" id="{47526379-CA72-429C-AC32-83C2D5CCA2EF}">
            <x14:dataBar minLength="0" maxLength="100" gradient="0">
              <x14:cfvo type="autoMin"/>
              <x14:cfvo type="autoMax"/>
              <x14:negativeFillColor rgb="FFFF0000"/>
              <x14:axisColor rgb="FF000000"/>
            </x14:dataBar>
          </x14:cfRule>
          <xm:sqref>D217:D219</xm:sqref>
        </x14:conditionalFormatting>
        <x14:conditionalFormatting xmlns:xm="http://schemas.microsoft.com/office/excel/2006/main">
          <x14:cfRule type="dataBar" id="{D6551772-894B-47B5-9C7B-C9EED5F433A4}">
            <x14:dataBar minLength="0" maxLength="100" gradient="0">
              <x14:cfvo type="autoMin"/>
              <x14:cfvo type="autoMax"/>
              <x14:negativeFillColor rgb="FFFF0000"/>
              <x14:axisColor rgb="FF000000"/>
            </x14:dataBar>
          </x14:cfRule>
          <xm:sqref>D236:AB237</xm:sqref>
        </x14:conditionalFormatting>
        <x14:conditionalFormatting xmlns:xm="http://schemas.microsoft.com/office/excel/2006/main">
          <x14:cfRule type="dataBar" id="{976FBF3E-BEBD-4D50-B38D-4AA4EF852801}">
            <x14:dataBar minLength="0" maxLength="100" gradient="0" direction="leftToRight">
              <x14:cfvo type="autoMin"/>
              <x14:cfvo type="autoMax"/>
              <x14:negativeFillColor rgb="FFFF0000"/>
              <x14:axisColor rgb="FF000000"/>
            </x14:dataBar>
          </x14:cfRule>
          <xm:sqref>V7:V28</xm:sqref>
        </x14:conditionalFormatting>
        <x14:conditionalFormatting xmlns:xm="http://schemas.microsoft.com/office/excel/2006/main">
          <x14:cfRule type="dataBar" id="{A8288132-5635-4AC3-9E41-868B4ADC7498}">
            <x14:dataBar minLength="0" maxLength="100" gradient="0" direction="leftToRight">
              <x14:cfvo type="autoMin"/>
              <x14:cfvo type="autoMax"/>
              <x14:negativeFillColor rgb="FFFF0000"/>
              <x14:axisColor rgb="FF000000"/>
            </x14:dataBar>
          </x14:cfRule>
          <xm:sqref>V37:V42</xm:sqref>
        </x14:conditionalFormatting>
        <x14:conditionalFormatting xmlns:xm="http://schemas.microsoft.com/office/excel/2006/main">
          <x14:cfRule type="dataBar" id="{A3B91F3C-BDD1-470C-BCAA-4A41AAD0668A}">
            <x14:dataBar minLength="0" maxLength="100" gradient="0">
              <x14:cfvo type="autoMin"/>
              <x14:cfvo type="autoMax"/>
              <x14:negativeFillColor rgb="FFFF0000"/>
              <x14:axisColor rgb="FF000000"/>
            </x14:dataBar>
          </x14:cfRule>
          <xm:sqref>AE225:AF235</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F05F05-C2D9-4CD9-A091-71DCD4618CAE}">
  <sheetPr>
    <tabColor rgb="FF00B0F0"/>
    <outlinePr summaryBelow="0" summaryRight="0"/>
  </sheetPr>
  <dimension ref="A1:BX282"/>
  <sheetViews>
    <sheetView showGridLines="0" zoomScale="85" zoomScaleNormal="85" workbookViewId="0">
      <selection activeCell="O55" sqref="O55:O100"/>
    </sheetView>
  </sheetViews>
  <sheetFormatPr baseColWidth="10" defaultColWidth="11.42578125" defaultRowHeight="15" outlineLevelRow="1"/>
  <cols>
    <col min="1" max="1" width="6.5703125" customWidth="1"/>
    <col min="2" max="2" width="37.140625" customWidth="1"/>
    <col min="3" max="3" width="15.42578125" customWidth="1"/>
    <col min="4" max="4" width="13.5703125" customWidth="1"/>
    <col min="5" max="5" width="18.5703125" customWidth="1"/>
    <col min="6" max="6" width="18.140625" customWidth="1"/>
    <col min="7" max="7" width="12.5703125" bestFit="1" customWidth="1"/>
    <col min="8" max="8" width="13.5703125" style="5" customWidth="1"/>
    <col min="9" max="9" width="13" style="5" customWidth="1"/>
    <col min="10" max="10" width="11.42578125" customWidth="1"/>
    <col min="11" max="20" width="13" customWidth="1"/>
    <col min="21" max="21" width="15.140625" bestFit="1" customWidth="1"/>
    <col min="22" max="22" width="16.140625" customWidth="1"/>
    <col min="23" max="28" width="13" customWidth="1"/>
    <col min="29" max="29" width="17" customWidth="1"/>
    <col min="30" max="30" width="15.85546875" bestFit="1" customWidth="1"/>
    <col min="31" max="31" width="14" bestFit="1" customWidth="1"/>
    <col min="32" max="32" width="11.5703125" customWidth="1"/>
    <col min="33" max="33" width="11.85546875" customWidth="1"/>
    <col min="34" max="34" width="15.85546875" bestFit="1" customWidth="1"/>
    <col min="36" max="36" width="15.42578125" customWidth="1"/>
    <col min="37" max="37" width="14" customWidth="1"/>
    <col min="38" max="38" width="22.5703125" customWidth="1"/>
    <col min="39" max="39" width="16.42578125" customWidth="1"/>
    <col min="40" max="40" width="3.140625" customWidth="1"/>
    <col min="42" max="42" width="18.5703125" customWidth="1"/>
    <col min="45" max="45" width="13" bestFit="1" customWidth="1"/>
    <col min="46" max="46" width="14.140625" bestFit="1" customWidth="1"/>
  </cols>
  <sheetData>
    <row r="1" spans="1:48" s="151" customFormat="1">
      <c r="A1" s="163" t="str">
        <f ca="1">RIGHT(CELL("dateiname",A2),LEN(CELL("dateiname",A2))-FIND("]",CELL("dateiname",A2)))</f>
        <v>CWD 2026_V1</v>
      </c>
      <c r="B1" s="164"/>
      <c r="C1" s="165" t="str">
        <f ca="1">IF(G40=TRUE,"OK","Infeasible")</f>
        <v>OK</v>
      </c>
      <c r="D1" s="164"/>
      <c r="E1" s="152"/>
      <c r="F1" s="161"/>
      <c r="G1" s="162"/>
      <c r="H1" s="162"/>
      <c r="I1" s="162"/>
      <c r="J1" s="152"/>
      <c r="K1" s="152"/>
      <c r="L1" s="153"/>
      <c r="M1" s="152"/>
      <c r="N1" s="152"/>
      <c r="O1" s="153"/>
      <c r="P1" s="152"/>
    </row>
    <row r="2" spans="1:48" ht="19.5" thickBot="1">
      <c r="A2" s="60" t="s">
        <v>131</v>
      </c>
      <c r="B2" s="60"/>
      <c r="C2" s="60"/>
      <c r="D2" s="60"/>
      <c r="E2" s="60"/>
      <c r="F2" s="60"/>
      <c r="G2" s="60"/>
      <c r="H2" s="60"/>
      <c r="I2" s="60"/>
      <c r="J2" s="60"/>
      <c r="K2" s="60" t="s">
        <v>132</v>
      </c>
      <c r="L2" s="60"/>
      <c r="M2" s="60"/>
      <c r="N2" s="60"/>
      <c r="O2" s="60"/>
      <c r="P2" s="60"/>
      <c r="Q2" s="60"/>
      <c r="R2" s="60"/>
      <c r="S2" s="60"/>
      <c r="T2" s="60"/>
      <c r="U2" s="60"/>
      <c r="V2" s="60"/>
      <c r="W2" s="60"/>
      <c r="X2" s="60"/>
      <c r="Y2" s="60"/>
      <c r="Z2" s="60"/>
      <c r="AA2" s="60"/>
      <c r="AB2" s="60"/>
      <c r="AC2" s="60"/>
      <c r="AD2" s="60"/>
      <c r="AE2" s="60"/>
      <c r="AF2" s="60"/>
      <c r="AG2" s="60"/>
      <c r="AH2" s="60"/>
      <c r="AI2" s="60"/>
      <c r="AJ2" s="60"/>
      <c r="AK2" s="60"/>
      <c r="AL2" s="60"/>
      <c r="AM2" s="60"/>
      <c r="AN2" s="60"/>
      <c r="AO2" s="60"/>
      <c r="AP2" s="60"/>
      <c r="AQ2" s="60"/>
      <c r="AR2" s="60"/>
      <c r="AS2" s="60"/>
      <c r="AT2" s="60"/>
      <c r="AU2" s="60"/>
      <c r="AV2" s="60"/>
    </row>
    <row r="3" spans="1:48">
      <c r="A3" s="154"/>
      <c r="K3" s="91" t="s">
        <v>0</v>
      </c>
      <c r="L3" s="92"/>
      <c r="M3" s="93"/>
      <c r="N3" s="94"/>
      <c r="O3" s="94"/>
      <c r="P3" s="95"/>
      <c r="Q3" s="150" t="s">
        <v>89</v>
      </c>
      <c r="R3" s="96">
        <f ca="1">costs_GCA_capa/1000</f>
        <v>104170.34600000001</v>
      </c>
      <c r="S3" s="97"/>
      <c r="T3" s="96"/>
      <c r="U3" s="93"/>
      <c r="V3" s="98"/>
      <c r="Y3" s="41"/>
      <c r="Z3" s="41"/>
      <c r="AA3" s="41"/>
      <c r="AQ3" s="132"/>
      <c r="AR3" s="41"/>
      <c r="AS3" s="41"/>
      <c r="AT3" s="41"/>
    </row>
    <row r="4" spans="1:48">
      <c r="B4" s="492" t="s">
        <v>281</v>
      </c>
      <c r="C4" s="487">
        <f ca="1">VALUE(MID(A1,5,4))</f>
        <v>2026</v>
      </c>
      <c r="E4" s="79"/>
      <c r="F4" s="79"/>
      <c r="G4" s="79"/>
      <c r="H4" s="443"/>
      <c r="I4" s="443"/>
      <c r="K4" s="104"/>
      <c r="L4" s="105"/>
      <c r="M4" s="106"/>
      <c r="N4" s="107" t="s">
        <v>60</v>
      </c>
      <c r="O4" s="107" t="s">
        <v>60</v>
      </c>
      <c r="P4" s="137"/>
      <c r="Q4" s="108" t="s">
        <v>38</v>
      </c>
      <c r="R4" s="134" t="s">
        <v>59</v>
      </c>
      <c r="S4" s="108" t="s">
        <v>38</v>
      </c>
      <c r="T4" s="108" t="s">
        <v>38</v>
      </c>
      <c r="U4" s="109" t="s">
        <v>59</v>
      </c>
      <c r="V4" s="110" t="s">
        <v>59</v>
      </c>
      <c r="W4" s="8"/>
      <c r="X4" s="287" t="s">
        <v>60</v>
      </c>
      <c r="Y4" s="287" t="s">
        <v>60</v>
      </c>
      <c r="Z4" s="287"/>
      <c r="AA4" s="287" t="s">
        <v>59</v>
      </c>
      <c r="AQ4" s="41"/>
      <c r="AS4" s="41"/>
    </row>
    <row r="5" spans="1:48">
      <c r="B5" s="493" t="s">
        <v>90</v>
      </c>
      <c r="C5" s="488">
        <f ca="1">LOOKUP($C$4,Tariff_SimCalculation!$O$9:$Q$9,Tariff_SimCalculation!$O$10:$Q$10)</f>
        <v>104170346</v>
      </c>
      <c r="E5" s="444" t="s">
        <v>302</v>
      </c>
      <c r="F5" s="445"/>
      <c r="G5" s="445"/>
      <c r="H5" s="446"/>
      <c r="I5" s="446"/>
      <c r="K5" s="104"/>
      <c r="L5" s="105"/>
      <c r="M5" s="106"/>
      <c r="N5" s="111" t="s">
        <v>61</v>
      </c>
      <c r="O5" s="111" t="s">
        <v>119</v>
      </c>
      <c r="P5" s="127" t="s">
        <v>87</v>
      </c>
      <c r="Q5" s="111" t="s">
        <v>113</v>
      </c>
      <c r="R5" s="127" t="s">
        <v>116</v>
      </c>
      <c r="S5" s="111" t="s">
        <v>256</v>
      </c>
      <c r="T5" s="111" t="s">
        <v>256</v>
      </c>
      <c r="U5" s="111" t="s">
        <v>256</v>
      </c>
      <c r="V5" s="112" t="s">
        <v>256</v>
      </c>
      <c r="X5" s="286" t="s">
        <v>0</v>
      </c>
      <c r="Y5" s="286" t="s">
        <v>180</v>
      </c>
      <c r="Z5" s="286" t="s">
        <v>182</v>
      </c>
      <c r="AA5" s="286" t="s">
        <v>176</v>
      </c>
      <c r="AQ5" s="41"/>
      <c r="AS5" s="41"/>
    </row>
    <row r="6" spans="1:48">
      <c r="B6" s="493" t="s">
        <v>91</v>
      </c>
      <c r="C6" s="488">
        <f ca="1">LOOKUP($C$4,Tariff_SimCalculation!$O$9:$Q$9,Tariff_SimCalculation!$O$11:$Q$11)</f>
        <v>176990960</v>
      </c>
      <c r="E6" s="445"/>
      <c r="F6" s="445"/>
      <c r="G6" s="445"/>
      <c r="H6" s="446"/>
      <c r="I6" s="446"/>
      <c r="K6" s="129" t="s">
        <v>121</v>
      </c>
      <c r="L6" s="113" t="s">
        <v>28</v>
      </c>
      <c r="M6" s="130" t="s">
        <v>29</v>
      </c>
      <c r="N6" s="113" t="s">
        <v>88</v>
      </c>
      <c r="O6" s="113" t="s">
        <v>327</v>
      </c>
      <c r="P6" s="128" t="s">
        <v>86</v>
      </c>
      <c r="Q6" s="113" t="s">
        <v>62</v>
      </c>
      <c r="R6" s="128" t="s">
        <v>115</v>
      </c>
      <c r="S6" s="113" t="s">
        <v>114</v>
      </c>
      <c r="T6" s="113" t="s">
        <v>118</v>
      </c>
      <c r="U6" s="114" t="s">
        <v>115</v>
      </c>
      <c r="V6" s="115" t="s">
        <v>118</v>
      </c>
      <c r="X6" s="282" t="s">
        <v>178</v>
      </c>
      <c r="Y6" s="282" t="s">
        <v>179</v>
      </c>
      <c r="Z6" s="282" t="s">
        <v>181</v>
      </c>
      <c r="AA6" s="48" t="s">
        <v>177</v>
      </c>
      <c r="AQ6" s="41"/>
      <c r="AR6" s="281"/>
      <c r="AS6" s="41"/>
    </row>
    <row r="7" spans="1:48">
      <c r="B7" s="493" t="s">
        <v>329</v>
      </c>
      <c r="C7" s="488">
        <f ca="1">costs_GCA_capa+costs_TAG_capa</f>
        <v>281161306</v>
      </c>
      <c r="E7" s="445"/>
      <c r="F7" s="445"/>
      <c r="G7" s="445"/>
      <c r="H7" s="446"/>
      <c r="I7" s="446"/>
      <c r="K7" s="81" t="s">
        <v>21</v>
      </c>
      <c r="L7" s="68" t="s">
        <v>31</v>
      </c>
      <c r="M7" s="68" t="s">
        <v>22</v>
      </c>
      <c r="N7" s="133">
        <f ca="1">J53</f>
        <v>2.7736328397447485</v>
      </c>
      <c r="O7" s="76">
        <f t="shared" ref="O7:O28" ca="1" si="0">I53</f>
        <v>1.372598089052816</v>
      </c>
      <c r="P7" s="138">
        <f t="shared" ref="P7:P24" ca="1" si="1">IFERROR(+N7/O7-1,"")</f>
        <v>1.0207173985348761</v>
      </c>
      <c r="Q7" s="72">
        <f t="shared" ref="Q7:Q28" ca="1" si="2">G53</f>
        <v>3366967</v>
      </c>
      <c r="R7" s="135">
        <f ca="1">N7*Q7/1000</f>
        <v>9338.7302415368558</v>
      </c>
      <c r="S7" s="72">
        <f t="shared" ref="S7:S28" ca="1" si="3">H53</f>
        <v>3366967</v>
      </c>
      <c r="T7" s="72">
        <f t="shared" ref="T7:T28" ca="1" si="4">S7-Q7</f>
        <v>0</v>
      </c>
      <c r="U7" s="72">
        <f t="shared" ref="U7:U28" ca="1" si="5">N7*S7/1000</f>
        <v>9338.7302415368558</v>
      </c>
      <c r="V7" s="82">
        <f t="shared" ref="V7:V28" ca="1" si="6">U7-R7</f>
        <v>0</v>
      </c>
      <c r="Y7" s="4">
        <f ca="1">N7*($R$30/$R$29)</f>
        <v>0.94865147962597329</v>
      </c>
      <c r="Z7" s="292">
        <f t="shared" ref="Z7:Z28" ca="1" si="7">N7/$X$29</f>
        <v>1.1828750223994597</v>
      </c>
      <c r="AA7" s="284">
        <f ca="1">-Z7*T7*$Y$29/1000</f>
        <v>0</v>
      </c>
      <c r="AB7" s="17"/>
      <c r="AO7" s="17"/>
      <c r="AQ7" s="41"/>
      <c r="AS7" s="41"/>
    </row>
    <row r="8" spans="1:48">
      <c r="B8" s="493" t="s">
        <v>328</v>
      </c>
      <c r="C8" s="489">
        <f ca="1">LOOKUP($C$4,Tariff_SimCalculation!$O$9:$Q$9,Tariff_SimCalculation!$O$12:$Q$12)</f>
        <v>0.25</v>
      </c>
      <c r="E8" s="445"/>
      <c r="F8" s="445"/>
      <c r="G8" s="445"/>
      <c r="H8" s="446"/>
      <c r="I8" s="446"/>
      <c r="K8" s="81" t="s">
        <v>21</v>
      </c>
      <c r="L8" s="68" t="s">
        <v>31</v>
      </c>
      <c r="M8" s="68" t="s">
        <v>23</v>
      </c>
      <c r="N8" s="133">
        <f t="shared" ref="N8:N28" ca="1" si="8">J54</f>
        <v>2.7736328397447485</v>
      </c>
      <c r="O8" s="76">
        <f t="shared" ca="1" si="0"/>
        <v>1.372598089052816</v>
      </c>
      <c r="P8" s="138">
        <f t="shared" ca="1" si="1"/>
        <v>1.0207173985348761</v>
      </c>
      <c r="Q8" s="72">
        <f t="shared" ca="1" si="2"/>
        <v>7618999</v>
      </c>
      <c r="R8" s="135">
        <f t="shared" ref="R8:R28" ca="1" si="9">N8*Q8/1000</f>
        <v>21132.305832382401</v>
      </c>
      <c r="S8" s="72">
        <f t="shared" ca="1" si="3"/>
        <v>7618999</v>
      </c>
      <c r="T8" s="72">
        <f t="shared" ca="1" si="4"/>
        <v>0</v>
      </c>
      <c r="U8" s="72">
        <f t="shared" ca="1" si="5"/>
        <v>21132.305832382401</v>
      </c>
      <c r="V8" s="82">
        <f t="shared" ca="1" si="6"/>
        <v>0</v>
      </c>
      <c r="Y8" s="4">
        <f t="shared" ref="Y8:Y28" ca="1" si="10">N8*($R$30/$R$29)</f>
        <v>0.94865147962597329</v>
      </c>
      <c r="Z8" s="292">
        <f t="shared" ca="1" si="7"/>
        <v>1.1828750223994597</v>
      </c>
      <c r="AA8" s="284">
        <f t="shared" ref="AA8:AA28" ca="1" si="11">-Z8*T8*$Y$29/1000</f>
        <v>0</v>
      </c>
      <c r="AB8" s="17"/>
      <c r="AD8" s="4"/>
      <c r="AO8" s="17"/>
      <c r="AQ8" s="41"/>
      <c r="AS8" s="41"/>
    </row>
    <row r="9" spans="1:48">
      <c r="B9" s="493"/>
      <c r="C9" s="488"/>
      <c r="E9" s="445"/>
      <c r="F9" s="445"/>
      <c r="G9" s="445"/>
      <c r="H9" s="446"/>
      <c r="I9" s="446"/>
      <c r="K9" s="81" t="s">
        <v>21</v>
      </c>
      <c r="L9" s="68" t="s">
        <v>31</v>
      </c>
      <c r="M9" s="68" t="s">
        <v>24</v>
      </c>
      <c r="N9" s="133">
        <f t="shared" ca="1" si="8"/>
        <v>2.7736328397447485</v>
      </c>
      <c r="O9" s="76">
        <f t="shared" ca="1" si="0"/>
        <v>1.372598089052816</v>
      </c>
      <c r="P9" s="138">
        <f t="shared" ca="1" si="1"/>
        <v>1.0207173985348761</v>
      </c>
      <c r="Q9" s="72">
        <f t="shared" ca="1" si="2"/>
        <v>818029</v>
      </c>
      <c r="R9" s="135">
        <f t="shared" ca="1" si="9"/>
        <v>2268.9120982635573</v>
      </c>
      <c r="S9" s="72">
        <f t="shared" ca="1" si="3"/>
        <v>818029</v>
      </c>
      <c r="T9" s="72">
        <f t="shared" ca="1" si="4"/>
        <v>0</v>
      </c>
      <c r="U9" s="72">
        <f t="shared" ca="1" si="5"/>
        <v>2268.9120982635573</v>
      </c>
      <c r="V9" s="82">
        <f t="shared" ca="1" si="6"/>
        <v>0</v>
      </c>
      <c r="Y9" s="4">
        <f t="shared" ca="1" si="10"/>
        <v>0.94865147962597329</v>
      </c>
      <c r="Z9" s="292">
        <f t="shared" ca="1" si="7"/>
        <v>1.1828750223994597</v>
      </c>
      <c r="AA9" s="284">
        <f t="shared" ca="1" si="11"/>
        <v>0</v>
      </c>
      <c r="AB9" s="17"/>
      <c r="AO9" s="17"/>
      <c r="AQ9" s="41"/>
      <c r="AS9" s="41"/>
    </row>
    <row r="10" spans="1:48">
      <c r="B10" s="494"/>
      <c r="C10" s="490"/>
      <c r="E10" s="445"/>
      <c r="F10" s="445"/>
      <c r="G10" s="445"/>
      <c r="H10" s="446"/>
      <c r="I10" s="446"/>
      <c r="K10" s="81" t="s">
        <v>21</v>
      </c>
      <c r="L10" s="68" t="s">
        <v>31</v>
      </c>
      <c r="M10" s="68" t="s">
        <v>39</v>
      </c>
      <c r="N10" s="133">
        <f t="shared" ca="1" si="8"/>
        <v>2.7736328397447485</v>
      </c>
      <c r="O10" s="76">
        <f t="shared" ca="1" si="0"/>
        <v>1.372598089052816</v>
      </c>
      <c r="P10" s="138">
        <f t="shared" ca="1" si="1"/>
        <v>1.0207173985348761</v>
      </c>
      <c r="Q10" s="72">
        <f t="shared" ca="1" si="2"/>
        <v>0</v>
      </c>
      <c r="R10" s="135">
        <f t="shared" ca="1" si="9"/>
        <v>0</v>
      </c>
      <c r="S10" s="72">
        <f t="shared" ca="1" si="3"/>
        <v>0</v>
      </c>
      <c r="T10" s="72">
        <f t="shared" ca="1" si="4"/>
        <v>0</v>
      </c>
      <c r="U10" s="72">
        <f t="shared" ca="1" si="5"/>
        <v>0</v>
      </c>
      <c r="V10" s="82">
        <f t="shared" ca="1" si="6"/>
        <v>0</v>
      </c>
      <c r="Y10" s="4">
        <f t="shared" ca="1" si="10"/>
        <v>0.94865147962597329</v>
      </c>
      <c r="Z10" s="292">
        <f t="shared" ca="1" si="7"/>
        <v>1.1828750223994597</v>
      </c>
      <c r="AA10" s="284">
        <f t="shared" ca="1" si="11"/>
        <v>0</v>
      </c>
      <c r="AB10" s="17"/>
      <c r="AO10" s="17"/>
      <c r="AQ10" s="41"/>
      <c r="AS10" s="41"/>
    </row>
    <row r="11" spans="1:48">
      <c r="B11" s="494"/>
      <c r="C11" s="491"/>
      <c r="E11" s="445"/>
      <c r="F11" s="445"/>
      <c r="G11" s="445"/>
      <c r="H11" s="446"/>
      <c r="I11" s="446"/>
      <c r="K11" s="81" t="s">
        <v>21</v>
      </c>
      <c r="L11" s="68" t="s">
        <v>31</v>
      </c>
      <c r="M11" s="68" t="s">
        <v>34</v>
      </c>
      <c r="N11" s="133">
        <f t="shared" ca="1" si="8"/>
        <v>2.7736328397447485</v>
      </c>
      <c r="O11" s="76">
        <f t="shared" ca="1" si="0"/>
        <v>1.372598089052816</v>
      </c>
      <c r="P11" s="138">
        <f t="shared" ca="1" si="1"/>
        <v>1.0207173985348761</v>
      </c>
      <c r="Q11" s="72">
        <f t="shared" ca="1" si="2"/>
        <v>0</v>
      </c>
      <c r="R11" s="135">
        <f t="shared" ca="1" si="9"/>
        <v>0</v>
      </c>
      <c r="S11" s="72">
        <f t="shared" ca="1" si="3"/>
        <v>0</v>
      </c>
      <c r="T11" s="72">
        <f t="shared" ca="1" si="4"/>
        <v>0</v>
      </c>
      <c r="U11" s="72">
        <f t="shared" ca="1" si="5"/>
        <v>0</v>
      </c>
      <c r="V11" s="82">
        <f t="shared" ca="1" si="6"/>
        <v>0</v>
      </c>
      <c r="Y11" s="4">
        <f t="shared" ca="1" si="10"/>
        <v>0.94865147962597329</v>
      </c>
      <c r="Z11" s="292">
        <f t="shared" ca="1" si="7"/>
        <v>1.1828750223994597</v>
      </c>
      <c r="AA11" s="284">
        <f t="shared" ca="1" si="11"/>
        <v>0</v>
      </c>
      <c r="AB11" s="17"/>
      <c r="AO11" s="276"/>
      <c r="AQ11" s="280"/>
      <c r="AS11" s="41"/>
    </row>
    <row r="12" spans="1:48">
      <c r="B12" s="493" t="s">
        <v>17</v>
      </c>
      <c r="C12" s="489">
        <f>10%</f>
        <v>0.1</v>
      </c>
      <c r="E12" s="445"/>
      <c r="F12" s="445"/>
      <c r="G12" s="445"/>
      <c r="H12" s="446"/>
      <c r="I12" s="446"/>
      <c r="K12" s="81" t="s">
        <v>21</v>
      </c>
      <c r="L12" s="68" t="s">
        <v>31</v>
      </c>
      <c r="M12" s="68" t="s">
        <v>33</v>
      </c>
      <c r="N12" s="133">
        <f t="shared" ca="1" si="8"/>
        <v>2.7736328397447485</v>
      </c>
      <c r="O12" s="76">
        <f t="shared" ca="1" si="0"/>
        <v>1.372598089052816</v>
      </c>
      <c r="P12" s="138">
        <f t="shared" ca="1" si="1"/>
        <v>1.0207173985348761</v>
      </c>
      <c r="Q12" s="72">
        <f t="shared" ca="1" si="2"/>
        <v>0</v>
      </c>
      <c r="R12" s="135">
        <f t="shared" ca="1" si="9"/>
        <v>0</v>
      </c>
      <c r="S12" s="72">
        <f t="shared" ca="1" si="3"/>
        <v>0</v>
      </c>
      <c r="T12" s="72">
        <f t="shared" ca="1" si="4"/>
        <v>0</v>
      </c>
      <c r="U12" s="72">
        <f t="shared" ca="1" si="5"/>
        <v>0</v>
      </c>
      <c r="V12" s="82">
        <f t="shared" ca="1" si="6"/>
        <v>0</v>
      </c>
      <c r="Y12" s="4">
        <f t="shared" ca="1" si="10"/>
        <v>0.94865147962597329</v>
      </c>
      <c r="Z12" s="292">
        <f t="shared" ca="1" si="7"/>
        <v>1.1828750223994597</v>
      </c>
      <c r="AA12" s="284">
        <f t="shared" ca="1" si="11"/>
        <v>0</v>
      </c>
      <c r="AB12" s="17"/>
      <c r="AD12" s="477" t="s">
        <v>322</v>
      </c>
      <c r="AE12" s="148"/>
      <c r="AF12" s="148"/>
      <c r="AG12" s="148"/>
      <c r="AH12" s="148"/>
      <c r="AO12" s="276"/>
      <c r="AQ12" s="280"/>
      <c r="AS12" s="41"/>
    </row>
    <row r="13" spans="1:48">
      <c r="B13" s="493" t="s">
        <v>282</v>
      </c>
      <c r="C13" s="489">
        <v>1</v>
      </c>
      <c r="D13" s="145"/>
      <c r="E13" s="445"/>
      <c r="F13" s="445"/>
      <c r="G13" s="445"/>
      <c r="H13" s="446"/>
      <c r="I13" s="446"/>
      <c r="K13" s="81" t="s">
        <v>21</v>
      </c>
      <c r="L13" s="68" t="s">
        <v>31</v>
      </c>
      <c r="M13" s="68" t="s">
        <v>35</v>
      </c>
      <c r="N13" s="133">
        <f t="shared" ca="1" si="8"/>
        <v>0</v>
      </c>
      <c r="O13" s="76">
        <f t="shared" ca="1" si="0"/>
        <v>0</v>
      </c>
      <c r="P13" s="138" t="str">
        <f t="shared" ca="1" si="1"/>
        <v/>
      </c>
      <c r="Q13" s="72">
        <f t="shared" ca="1" si="2"/>
        <v>4028400.0000000009</v>
      </c>
      <c r="R13" s="135">
        <f t="shared" ca="1" si="9"/>
        <v>0</v>
      </c>
      <c r="S13" s="72">
        <f t="shared" ca="1" si="3"/>
        <v>4028400.0000000009</v>
      </c>
      <c r="T13" s="72">
        <f t="shared" ca="1" si="4"/>
        <v>0</v>
      </c>
      <c r="U13" s="72">
        <f t="shared" ca="1" si="5"/>
        <v>0</v>
      </c>
      <c r="V13" s="82">
        <f t="shared" ca="1" si="6"/>
        <v>0</v>
      </c>
      <c r="Y13" s="4">
        <f t="shared" ca="1" si="10"/>
        <v>0</v>
      </c>
      <c r="Z13" s="292">
        <f t="shared" ca="1" si="7"/>
        <v>0</v>
      </c>
      <c r="AA13" s="284">
        <f t="shared" ca="1" si="11"/>
        <v>0</v>
      </c>
      <c r="AB13" s="17"/>
      <c r="AD13" s="148"/>
      <c r="AE13" s="148"/>
      <c r="AF13" s="148"/>
      <c r="AG13" s="148"/>
      <c r="AH13" s="148"/>
      <c r="AO13" s="276"/>
      <c r="AQ13" s="280"/>
      <c r="AS13" s="41"/>
    </row>
    <row r="14" spans="1:48">
      <c r="B14" s="495" t="s">
        <v>224</v>
      </c>
      <c r="C14" s="489">
        <f ca="1">LOOKUP($C$4,Tariff_SimCalculation!$O$9:$Q$9,Tariff_SimCalculation!$O$14:$Q$14)</f>
        <v>0.5</v>
      </c>
      <c r="E14" s="445"/>
      <c r="F14" s="445"/>
      <c r="G14" s="445"/>
      <c r="H14" s="446"/>
      <c r="I14" s="446"/>
      <c r="K14" s="83" t="s">
        <v>30</v>
      </c>
      <c r="L14" s="68" t="s">
        <v>31</v>
      </c>
      <c r="M14" s="68" t="s">
        <v>22</v>
      </c>
      <c r="N14" s="133">
        <f t="shared" ca="1" si="8"/>
        <v>3.7360454146105768</v>
      </c>
      <c r="O14" s="76">
        <f t="shared" ca="1" si="0"/>
        <v>2.1480106281567006</v>
      </c>
      <c r="P14" s="138">
        <f t="shared" ca="1" si="1"/>
        <v>0.73930490177166219</v>
      </c>
      <c r="Q14" s="72">
        <f t="shared" ca="1" si="2"/>
        <v>1975276</v>
      </c>
      <c r="R14" s="135">
        <f t="shared" ca="1" si="9"/>
        <v>7379.7208423903221</v>
      </c>
      <c r="S14" s="72">
        <f t="shared" ca="1" si="3"/>
        <v>1975276</v>
      </c>
      <c r="T14" s="72">
        <f t="shared" ca="1" si="4"/>
        <v>0</v>
      </c>
      <c r="U14" s="72">
        <f t="shared" ca="1" si="5"/>
        <v>7379.7208423903221</v>
      </c>
      <c r="V14" s="82">
        <f t="shared" ca="1" si="6"/>
        <v>0</v>
      </c>
      <c r="Y14" s="4">
        <f t="shared" ca="1" si="10"/>
        <v>1.2778205390899258</v>
      </c>
      <c r="Z14" s="292">
        <f t="shared" ca="1" si="7"/>
        <v>1.5933164405060842</v>
      </c>
      <c r="AA14" s="284">
        <f t="shared" ca="1" si="11"/>
        <v>0</v>
      </c>
      <c r="AB14" s="17"/>
      <c r="AD14" s="148"/>
      <c r="AE14" s="148" t="s">
        <v>287</v>
      </c>
      <c r="AF14" s="462">
        <f ca="1">costs_GCA_capa/1000000</f>
        <v>104.170346</v>
      </c>
      <c r="AG14" s="462"/>
      <c r="AH14" s="462"/>
      <c r="AQ14" s="280"/>
      <c r="AS14" s="41"/>
    </row>
    <row r="15" spans="1:48">
      <c r="B15" s="448"/>
      <c r="C15" s="447"/>
      <c r="E15" s="445"/>
      <c r="F15" s="445"/>
      <c r="G15" s="445"/>
      <c r="H15" s="446"/>
      <c r="I15" s="446"/>
      <c r="K15" s="83" t="s">
        <v>30</v>
      </c>
      <c r="L15" s="68" t="s">
        <v>31</v>
      </c>
      <c r="M15" s="68" t="s">
        <v>23</v>
      </c>
      <c r="N15" s="133">
        <f t="shared" ca="1" si="8"/>
        <v>7.5586618182948762</v>
      </c>
      <c r="O15" s="76">
        <f t="shared" ca="1" si="0"/>
        <v>4.3074672467522168</v>
      </c>
      <c r="P15" s="138">
        <f t="shared" ca="1" si="1"/>
        <v>0.75478103147366338</v>
      </c>
      <c r="Q15" s="72">
        <f t="shared" ca="1" si="2"/>
        <v>3366967</v>
      </c>
      <c r="R15" s="135">
        <f t="shared" ca="1" si="9"/>
        <v>25449.764906358847</v>
      </c>
      <c r="S15" s="72">
        <f t="shared" ca="1" si="3"/>
        <v>3366967</v>
      </c>
      <c r="T15" s="72">
        <f t="shared" ca="1" si="4"/>
        <v>0</v>
      </c>
      <c r="U15" s="72">
        <f t="shared" ca="1" si="5"/>
        <v>25449.764906358847</v>
      </c>
      <c r="V15" s="82">
        <f t="shared" ca="1" si="6"/>
        <v>0</v>
      </c>
      <c r="Y15" s="4">
        <f t="shared" ca="1" si="10"/>
        <v>2.5852505115917479</v>
      </c>
      <c r="Z15" s="292">
        <f t="shared" ca="1" si="7"/>
        <v>3.2235529301161252</v>
      </c>
      <c r="AA15" s="284">
        <f t="shared" ca="1" si="11"/>
        <v>0</v>
      </c>
      <c r="AB15" s="17"/>
      <c r="AD15" s="148"/>
      <c r="AE15" s="148" t="s">
        <v>288</v>
      </c>
      <c r="AF15" s="462">
        <f ca="1">costs_TAG_capa/1000000</f>
        <v>176.99096</v>
      </c>
      <c r="AG15" s="462"/>
      <c r="AH15" s="462">
        <f ca="1">U43/1000</f>
        <v>122.8417204375652</v>
      </c>
      <c r="AQ15" s="280"/>
      <c r="AS15" s="41"/>
    </row>
    <row r="16" spans="1:48">
      <c r="B16" s="448"/>
      <c r="C16" s="447"/>
      <c r="E16" s="445"/>
      <c r="F16" s="445"/>
      <c r="G16" s="445"/>
      <c r="H16" s="446"/>
      <c r="I16" s="446"/>
      <c r="K16" s="83" t="s">
        <v>30</v>
      </c>
      <c r="L16" s="68" t="s">
        <v>31</v>
      </c>
      <c r="M16" s="68" t="s">
        <v>24</v>
      </c>
      <c r="N16" s="133">
        <f t="shared" ca="1" si="8"/>
        <v>7.5586618182948762</v>
      </c>
      <c r="O16" s="76">
        <f t="shared" ca="1" si="0"/>
        <v>4.3074672467522168</v>
      </c>
      <c r="P16" s="138">
        <f t="shared" ca="1" si="1"/>
        <v>0.75478103147366338</v>
      </c>
      <c r="Q16" s="72">
        <f t="shared" ca="1" si="2"/>
        <v>0</v>
      </c>
      <c r="R16" s="135">
        <f t="shared" ca="1" si="9"/>
        <v>0</v>
      </c>
      <c r="S16" s="72">
        <f t="shared" ca="1" si="3"/>
        <v>0</v>
      </c>
      <c r="T16" s="72">
        <f t="shared" ca="1" si="4"/>
        <v>0</v>
      </c>
      <c r="U16" s="72">
        <f t="shared" ca="1" si="5"/>
        <v>0</v>
      </c>
      <c r="V16" s="82">
        <f t="shared" ca="1" si="6"/>
        <v>0</v>
      </c>
      <c r="Y16" s="4">
        <f t="shared" ca="1" si="10"/>
        <v>2.5852505115917479</v>
      </c>
      <c r="Z16" s="292">
        <f t="shared" ca="1" si="7"/>
        <v>3.2235529301161252</v>
      </c>
      <c r="AA16" s="284">
        <f t="shared" ca="1" si="11"/>
        <v>0</v>
      </c>
      <c r="AB16" s="17"/>
      <c r="AD16" s="148"/>
      <c r="AE16" s="148"/>
      <c r="AF16" s="462"/>
      <c r="AG16" s="462"/>
      <c r="AH16" s="462">
        <f ca="1">AA44/1000</f>
        <v>176.99096</v>
      </c>
      <c r="AQ16" s="280"/>
      <c r="AS16" s="41"/>
    </row>
    <row r="17" spans="2:46">
      <c r="B17" s="439"/>
      <c r="C17" s="284"/>
      <c r="E17" s="445"/>
      <c r="F17" s="445"/>
      <c r="G17" s="445"/>
      <c r="H17" s="446"/>
      <c r="I17" s="446"/>
      <c r="K17" s="83" t="s">
        <v>30</v>
      </c>
      <c r="L17" s="68" t="s">
        <v>31</v>
      </c>
      <c r="M17" s="68" t="s">
        <v>39</v>
      </c>
      <c r="N17" s="133">
        <f t="shared" ca="1" si="8"/>
        <v>3.9674104358946902</v>
      </c>
      <c r="O17" s="76">
        <f t="shared" ca="1" si="0"/>
        <v>2.1434083293827535</v>
      </c>
      <c r="P17" s="138">
        <f ca="1">IFERROR(+N17/O17-1,"")</f>
        <v>0.85098209310271855</v>
      </c>
      <c r="Q17" s="72">
        <f t="shared" ca="1" si="2"/>
        <v>3189496</v>
      </c>
      <c r="R17" s="135">
        <f t="shared" ca="1" si="9"/>
        <v>12654.039715644371</v>
      </c>
      <c r="S17" s="72">
        <f t="shared" ca="1" si="3"/>
        <v>3189496</v>
      </c>
      <c r="T17" s="72">
        <f t="shared" ca="1" si="4"/>
        <v>0</v>
      </c>
      <c r="U17" s="72">
        <f t="shared" ca="1" si="5"/>
        <v>12654.039715644371</v>
      </c>
      <c r="V17" s="82">
        <f t="shared" ca="1" si="6"/>
        <v>0</v>
      </c>
      <c r="Y17" s="4">
        <f t="shared" ca="1" si="10"/>
        <v>1.3569531361048457</v>
      </c>
      <c r="Z17" s="292">
        <f t="shared" ca="1" si="7"/>
        <v>1.6919870002183361</v>
      </c>
      <c r="AA17" s="284">
        <f t="shared" ca="1" si="11"/>
        <v>0</v>
      </c>
      <c r="AB17" s="17"/>
      <c r="AD17" s="148"/>
      <c r="AE17" s="148"/>
      <c r="AF17" s="462">
        <f ca="1">R30/1000</f>
        <v>54.149239562434772</v>
      </c>
      <c r="AG17" s="462"/>
      <c r="AH17" s="462">
        <f ca="1">V45/1000</f>
        <v>0</v>
      </c>
      <c r="AO17" s="276"/>
      <c r="AQ17" s="280"/>
      <c r="AS17" s="41"/>
    </row>
    <row r="18" spans="2:46">
      <c r="B18" s="265" t="s">
        <v>169</v>
      </c>
      <c r="E18" s="445"/>
      <c r="F18" s="445"/>
      <c r="G18" s="445"/>
      <c r="H18" s="446"/>
      <c r="I18" s="446"/>
      <c r="K18" s="83" t="s">
        <v>30</v>
      </c>
      <c r="L18" s="68" t="s">
        <v>31</v>
      </c>
      <c r="M18" s="68" t="s">
        <v>34</v>
      </c>
      <c r="N18" s="133">
        <f t="shared" ca="1" si="8"/>
        <v>0</v>
      </c>
      <c r="O18" s="76">
        <f t="shared" ca="1" si="0"/>
        <v>0</v>
      </c>
      <c r="P18" s="138" t="str">
        <f t="shared" ca="1" si="1"/>
        <v/>
      </c>
      <c r="Q18" s="72">
        <f t="shared" ca="1" si="2"/>
        <v>0</v>
      </c>
      <c r="R18" s="135">
        <f t="shared" ca="1" si="9"/>
        <v>0</v>
      </c>
      <c r="S18" s="72">
        <f t="shared" ca="1" si="3"/>
        <v>0</v>
      </c>
      <c r="T18" s="72">
        <f t="shared" ca="1" si="4"/>
        <v>0</v>
      </c>
      <c r="U18" s="72">
        <f t="shared" ca="1" si="5"/>
        <v>0</v>
      </c>
      <c r="V18" s="82">
        <f t="shared" ca="1" si="6"/>
        <v>0</v>
      </c>
      <c r="Y18" s="4">
        <f t="shared" ca="1" si="10"/>
        <v>0</v>
      </c>
      <c r="Z18" s="292">
        <f t="shared" ca="1" si="7"/>
        <v>0</v>
      </c>
      <c r="AA18" s="284">
        <f t="shared" ca="1" si="11"/>
        <v>0</v>
      </c>
      <c r="AB18" s="17"/>
      <c r="AD18" s="148"/>
      <c r="AE18" s="148"/>
      <c r="AF18" s="462">
        <f ca="1">R30/1000-(ABS(AA29)+ABS(AA43))/2/1000</f>
        <v>54.149239562434772</v>
      </c>
      <c r="AG18" s="462"/>
      <c r="AH18" s="462"/>
      <c r="AO18" s="276"/>
      <c r="AQ18" s="280"/>
      <c r="AS18" s="41"/>
    </row>
    <row r="19" spans="2:46">
      <c r="B19" s="262" t="s">
        <v>167</v>
      </c>
      <c r="C19" s="263">
        <f ca="1">(R29+R43)*1000-C7</f>
        <v>0</v>
      </c>
      <c r="E19" s="445"/>
      <c r="F19" s="445"/>
      <c r="G19" s="445"/>
      <c r="H19" s="446"/>
      <c r="I19" s="446"/>
      <c r="K19" s="83" t="s">
        <v>30</v>
      </c>
      <c r="L19" s="68" t="s">
        <v>31</v>
      </c>
      <c r="M19" s="68" t="s">
        <v>33</v>
      </c>
      <c r="N19" s="133">
        <f t="shared" ca="1" si="8"/>
        <v>6.5473368606946538</v>
      </c>
      <c r="O19" s="76">
        <f t="shared" ca="1" si="0"/>
        <v>3.7353308470594149</v>
      </c>
      <c r="P19" s="138">
        <f t="shared" ca="1" si="1"/>
        <v>0.75281310512265609</v>
      </c>
      <c r="Q19" s="72">
        <f t="shared" ca="1" si="2"/>
        <v>872840</v>
      </c>
      <c r="R19" s="135">
        <f t="shared" ca="1" si="9"/>
        <v>5714.7775054887215</v>
      </c>
      <c r="S19" s="72">
        <f t="shared" ca="1" si="3"/>
        <v>872840</v>
      </c>
      <c r="T19" s="72">
        <f t="shared" ca="1" si="4"/>
        <v>0</v>
      </c>
      <c r="U19" s="72">
        <f t="shared" ca="1" si="5"/>
        <v>5714.7775054887215</v>
      </c>
      <c r="V19" s="82">
        <f t="shared" ca="1" si="6"/>
        <v>0</v>
      </c>
      <c r="Y19" s="4">
        <f t="shared" ca="1" si="10"/>
        <v>2.2393521995792551</v>
      </c>
      <c r="Z19" s="292">
        <f t="shared" ca="1" si="7"/>
        <v>2.7922517806876428</v>
      </c>
      <c r="AA19" s="284">
        <f t="shared" ca="1" si="11"/>
        <v>0</v>
      </c>
      <c r="AB19" s="17"/>
      <c r="AD19" s="148"/>
      <c r="AE19" s="148"/>
      <c r="AF19" s="462">
        <f ca="1">-AA29/1000</f>
        <v>0</v>
      </c>
      <c r="AG19" s="462"/>
      <c r="AH19" s="462"/>
      <c r="AO19" s="276"/>
      <c r="AQ19" s="280"/>
      <c r="AS19" s="41"/>
    </row>
    <row r="20" spans="2:46">
      <c r="B20" s="258" t="s">
        <v>84</v>
      </c>
      <c r="C20" s="260">
        <f ca="1">-R31*1000</f>
        <v>54149239.56243477</v>
      </c>
      <c r="D20" s="440"/>
      <c r="E20" s="445"/>
      <c r="F20" s="445"/>
      <c r="G20" s="445"/>
      <c r="H20" s="446"/>
      <c r="I20" s="446"/>
      <c r="K20" s="83" t="s">
        <v>30</v>
      </c>
      <c r="L20" s="68" t="s">
        <v>31</v>
      </c>
      <c r="M20" s="68" t="s">
        <v>35</v>
      </c>
      <c r="N20" s="133">
        <f t="shared" ca="1" si="8"/>
        <v>2.0916000000000001</v>
      </c>
      <c r="O20" s="76">
        <f t="shared" ca="1" si="0"/>
        <v>1.26</v>
      </c>
      <c r="P20" s="138">
        <f t="shared" ca="1" si="1"/>
        <v>0.66000000000000014</v>
      </c>
      <c r="Q20" s="72">
        <f t="shared" ca="1" si="2"/>
        <v>21422795</v>
      </c>
      <c r="R20" s="135">
        <f t="shared" ca="1" si="9"/>
        <v>44807.918021999998</v>
      </c>
      <c r="S20" s="72">
        <f t="shared" ca="1" si="3"/>
        <v>21422795</v>
      </c>
      <c r="T20" s="72">
        <f t="shared" ca="1" si="4"/>
        <v>0</v>
      </c>
      <c r="U20" s="72">
        <f t="shared" ca="1" si="5"/>
        <v>44807.918021999998</v>
      </c>
      <c r="V20" s="82">
        <f t="shared" ca="1" si="6"/>
        <v>0</v>
      </c>
      <c r="Y20" s="4">
        <f t="shared" ca="1" si="10"/>
        <v>0.71537926951005071</v>
      </c>
      <c r="Z20" s="292">
        <f t="shared" ca="1" si="7"/>
        <v>0.89200753661338839</v>
      </c>
      <c r="AA20" s="284">
        <f t="shared" ca="1" si="11"/>
        <v>0</v>
      </c>
      <c r="AB20" s="17"/>
      <c r="AD20" s="148"/>
      <c r="AE20" s="148"/>
      <c r="AF20" s="462"/>
      <c r="AG20" s="462"/>
      <c r="AH20" s="462"/>
      <c r="AO20" s="276"/>
      <c r="AQ20" s="280"/>
      <c r="AS20" s="41"/>
    </row>
    <row r="21" spans="2:46">
      <c r="B21" s="258" t="s">
        <v>168</v>
      </c>
      <c r="C21" s="449">
        <f ca="1">$T$94</f>
        <v>0.26385720986315891</v>
      </c>
      <c r="E21" s="445"/>
      <c r="F21" s="445"/>
      <c r="G21" s="445"/>
      <c r="H21" s="446"/>
      <c r="I21" s="446"/>
      <c r="K21" s="81" t="s">
        <v>21</v>
      </c>
      <c r="L21" s="73" t="s">
        <v>32</v>
      </c>
      <c r="M21" s="68" t="s">
        <v>24</v>
      </c>
      <c r="N21" s="133">
        <f t="shared" ca="1" si="8"/>
        <v>2.4962695557702737</v>
      </c>
      <c r="O21" s="76">
        <f t="shared" ca="1" si="0"/>
        <v>1.2353382801475343</v>
      </c>
      <c r="P21" s="138">
        <f t="shared" ca="1" si="1"/>
        <v>1.0207173985348761</v>
      </c>
      <c r="Q21" s="72">
        <f t="shared" ca="1" si="2"/>
        <v>0</v>
      </c>
      <c r="R21" s="135">
        <f t="shared" ca="1" si="9"/>
        <v>0</v>
      </c>
      <c r="S21" s="72">
        <f t="shared" ca="1" si="3"/>
        <v>0</v>
      </c>
      <c r="T21" s="72">
        <f t="shared" ca="1" si="4"/>
        <v>0</v>
      </c>
      <c r="U21" s="72">
        <f t="shared" ca="1" si="5"/>
        <v>0</v>
      </c>
      <c r="V21" s="82">
        <f t="shared" ca="1" si="6"/>
        <v>0</v>
      </c>
      <c r="Y21" s="4">
        <f t="shared" ca="1" si="10"/>
        <v>0.85378633166337592</v>
      </c>
      <c r="Z21" s="292">
        <f t="shared" ca="1" si="7"/>
        <v>1.0645875201595139</v>
      </c>
      <c r="AA21" s="284">
        <f t="shared" ca="1" si="11"/>
        <v>0</v>
      </c>
      <c r="AB21" s="17"/>
      <c r="AD21" s="148"/>
      <c r="AE21" s="148"/>
      <c r="AF21" s="462">
        <f ca="1">R29/1000</f>
        <v>158.31958556243478</v>
      </c>
      <c r="AG21" s="462"/>
      <c r="AH21" s="462"/>
      <c r="AO21" s="276"/>
      <c r="AQ21" s="280"/>
      <c r="AS21" s="41"/>
    </row>
    <row r="22" spans="2:46">
      <c r="B22" s="258" t="s">
        <v>75</v>
      </c>
      <c r="C22" s="449">
        <f ca="1">K174</f>
        <v>7.954890977054695E-3</v>
      </c>
      <c r="K22" s="83" t="s">
        <v>30</v>
      </c>
      <c r="L22" s="73" t="s">
        <v>32</v>
      </c>
      <c r="M22" s="68" t="s">
        <v>24</v>
      </c>
      <c r="N22" s="133">
        <f t="shared" ca="1" si="8"/>
        <v>6.8027956364653885</v>
      </c>
      <c r="O22" s="76">
        <f t="shared" ca="1" si="0"/>
        <v>3.8767205220769951</v>
      </c>
      <c r="P22" s="138">
        <f t="shared" ca="1" si="1"/>
        <v>0.75478103147366338</v>
      </c>
      <c r="Q22" s="72">
        <f t="shared" ca="1" si="2"/>
        <v>585865</v>
      </c>
      <c r="R22" s="135">
        <f t="shared" ca="1" si="9"/>
        <v>3985.5198655577951</v>
      </c>
      <c r="S22" s="72">
        <f t="shared" ca="1" si="3"/>
        <v>585865</v>
      </c>
      <c r="T22" s="72">
        <f t="shared" ca="1" si="4"/>
        <v>0</v>
      </c>
      <c r="U22" s="72">
        <f t="shared" ca="1" si="5"/>
        <v>3985.5198655577951</v>
      </c>
      <c r="V22" s="82">
        <f t="shared" ca="1" si="6"/>
        <v>0</v>
      </c>
      <c r="Y22" s="4">
        <f t="shared" ca="1" si="10"/>
        <v>2.3267254604325731</v>
      </c>
      <c r="Z22" s="292">
        <f t="shared" ca="1" si="7"/>
        <v>2.9011976371045125</v>
      </c>
      <c r="AA22" s="284">
        <f t="shared" ca="1" si="11"/>
        <v>0</v>
      </c>
      <c r="AB22" s="17"/>
      <c r="AD22" s="148"/>
      <c r="AE22" s="148"/>
      <c r="AF22" s="462">
        <f ca="1">R43/1000</f>
        <v>122.8417204375652</v>
      </c>
      <c r="AG22" s="462"/>
      <c r="AH22" s="462"/>
      <c r="AO22" s="276"/>
      <c r="AQ22" s="280"/>
      <c r="AS22" s="41"/>
    </row>
    <row r="23" spans="2:46">
      <c r="B23" s="261" t="s">
        <v>69</v>
      </c>
      <c r="C23" s="450">
        <f ca="1">K172</f>
        <v>13.948163770385332</v>
      </c>
      <c r="E23" s="444" t="s">
        <v>303</v>
      </c>
      <c r="F23" s="445"/>
      <c r="G23" s="445"/>
      <c r="H23" s="446"/>
      <c r="I23" s="446"/>
      <c r="K23" s="83" t="s">
        <v>30</v>
      </c>
      <c r="L23" s="73" t="s">
        <v>32</v>
      </c>
      <c r="M23" s="68" t="s">
        <v>35</v>
      </c>
      <c r="N23" s="133">
        <f t="shared" ca="1" si="8"/>
        <v>1.8824400000000001</v>
      </c>
      <c r="O23" s="76">
        <f t="shared" ca="1" si="0"/>
        <v>1.1340000000000001</v>
      </c>
      <c r="P23" s="138">
        <f t="shared" ca="1" si="1"/>
        <v>0.65999999999999992</v>
      </c>
      <c r="Q23" s="72">
        <f t="shared" ca="1" si="2"/>
        <v>4635629</v>
      </c>
      <c r="R23" s="135">
        <f t="shared" ca="1" si="9"/>
        <v>8726.2934547599998</v>
      </c>
      <c r="S23" s="72">
        <f t="shared" ca="1" si="3"/>
        <v>4635629</v>
      </c>
      <c r="T23" s="72">
        <f t="shared" ca="1" si="4"/>
        <v>0</v>
      </c>
      <c r="U23" s="72">
        <f t="shared" ca="1" si="5"/>
        <v>8726.2934547599998</v>
      </c>
      <c r="V23" s="82">
        <f t="shared" ca="1" si="6"/>
        <v>0</v>
      </c>
      <c r="Y23" s="4">
        <f t="shared" ca="1" si="10"/>
        <v>0.64384134255904568</v>
      </c>
      <c r="Z23" s="292">
        <f t="shared" ca="1" si="7"/>
        <v>0.80280678295204955</v>
      </c>
      <c r="AA23" s="284">
        <f t="shared" ca="1" si="11"/>
        <v>0</v>
      </c>
      <c r="AB23" s="17"/>
      <c r="AD23" s="148"/>
      <c r="AE23" s="148"/>
      <c r="AF23" s="462"/>
      <c r="AG23" s="462"/>
      <c r="AH23" s="462"/>
      <c r="AO23" s="276"/>
      <c r="AQ23" s="280"/>
      <c r="AS23" s="41"/>
    </row>
    <row r="24" spans="2:46">
      <c r="B24" s="261" t="s">
        <v>71</v>
      </c>
      <c r="C24" s="450">
        <f ca="1">K173</f>
        <v>14.05956297677975</v>
      </c>
      <c r="E24" s="445"/>
      <c r="F24" s="445"/>
      <c r="G24" s="445"/>
      <c r="H24" s="446"/>
      <c r="I24" s="446"/>
      <c r="K24" s="83" t="s">
        <v>30</v>
      </c>
      <c r="L24" s="73" t="s">
        <v>32</v>
      </c>
      <c r="M24" s="68" t="s">
        <v>35</v>
      </c>
      <c r="N24" s="133">
        <f t="shared" ca="1" si="8"/>
        <v>1.8824400000000001</v>
      </c>
      <c r="O24" s="76">
        <f t="shared" ca="1" si="0"/>
        <v>1.1340000000000001</v>
      </c>
      <c r="P24" s="138">
        <f t="shared" ca="1" si="1"/>
        <v>0.65999999999999992</v>
      </c>
      <c r="Q24" s="72">
        <f t="shared" ca="1" si="2"/>
        <v>2378663</v>
      </c>
      <c r="R24" s="135">
        <f t="shared" ca="1" si="9"/>
        <v>4477.6903777200005</v>
      </c>
      <c r="S24" s="72">
        <f t="shared" ca="1" si="3"/>
        <v>2378663</v>
      </c>
      <c r="T24" s="72">
        <f t="shared" ca="1" si="4"/>
        <v>0</v>
      </c>
      <c r="U24" s="72">
        <f t="shared" ca="1" si="5"/>
        <v>4477.6903777200005</v>
      </c>
      <c r="V24" s="82">
        <f t="shared" ca="1" si="6"/>
        <v>0</v>
      </c>
      <c r="Y24" s="4">
        <f t="shared" ca="1" si="10"/>
        <v>0.64384134255904568</v>
      </c>
      <c r="Z24" s="292">
        <f t="shared" ca="1" si="7"/>
        <v>0.80280678295204955</v>
      </c>
      <c r="AA24" s="284">
        <f t="shared" ca="1" si="11"/>
        <v>0</v>
      </c>
      <c r="AB24" s="17"/>
      <c r="AD24" s="148"/>
      <c r="AE24" s="148"/>
      <c r="AF24" s="462">
        <f ca="1">U29/1000</f>
        <v>158.31958556243478</v>
      </c>
      <c r="AG24" s="462"/>
      <c r="AH24" s="462"/>
      <c r="AO24" s="276"/>
      <c r="AQ24" s="280"/>
      <c r="AS24" s="41"/>
    </row>
    <row r="25" spans="2:46">
      <c r="B25" s="258" t="s">
        <v>291</v>
      </c>
      <c r="C25" s="259">
        <f ca="1">E261</f>
        <v>0.11526242020824867</v>
      </c>
      <c r="E25" s="445"/>
      <c r="F25" s="445"/>
      <c r="G25" s="445"/>
      <c r="H25" s="446"/>
      <c r="I25" s="446"/>
      <c r="K25" s="81" t="s">
        <v>21</v>
      </c>
      <c r="L25" s="68" t="s">
        <v>31</v>
      </c>
      <c r="M25" s="68" t="s">
        <v>56</v>
      </c>
      <c r="N25" s="133">
        <f t="shared" ca="1" si="8"/>
        <v>0</v>
      </c>
      <c r="O25" s="76">
        <f t="shared" ca="1" si="0"/>
        <v>0</v>
      </c>
      <c r="P25" s="138"/>
      <c r="Q25" s="72">
        <f t="shared" ca="1" si="2"/>
        <v>0</v>
      </c>
      <c r="R25" s="135">
        <f t="shared" ca="1" si="9"/>
        <v>0</v>
      </c>
      <c r="S25" s="72">
        <f t="shared" ca="1" si="3"/>
        <v>0</v>
      </c>
      <c r="T25" s="72">
        <f t="shared" ca="1" si="4"/>
        <v>0</v>
      </c>
      <c r="U25" s="72">
        <f t="shared" ca="1" si="5"/>
        <v>0</v>
      </c>
      <c r="V25" s="82">
        <f t="shared" ca="1" si="6"/>
        <v>0</v>
      </c>
      <c r="Y25" s="4">
        <f t="shared" ca="1" si="10"/>
        <v>0</v>
      </c>
      <c r="Z25" s="292">
        <f t="shared" ca="1" si="7"/>
        <v>0</v>
      </c>
      <c r="AA25" s="284">
        <f t="shared" ca="1" si="11"/>
        <v>0</v>
      </c>
      <c r="AB25" s="17"/>
      <c r="AD25" s="148"/>
      <c r="AE25" s="148"/>
      <c r="AF25" s="462">
        <f ca="1">AA30/1000</f>
        <v>104.17034600000001</v>
      </c>
      <c r="AG25" s="462"/>
      <c r="AH25" s="462"/>
      <c r="AO25" s="276"/>
      <c r="AQ25" s="280"/>
      <c r="AS25" s="41"/>
    </row>
    <row r="26" spans="2:46">
      <c r="B26" s="261" t="s">
        <v>69</v>
      </c>
      <c r="C26" s="450">
        <f ca="1">E259</f>
        <v>97.484778778662147</v>
      </c>
      <c r="E26" s="445"/>
      <c r="F26" s="445"/>
      <c r="G26" s="445"/>
      <c r="H26" s="446"/>
      <c r="I26" s="446"/>
      <c r="K26" s="81" t="s">
        <v>21</v>
      </c>
      <c r="L26" s="68" t="s">
        <v>31</v>
      </c>
      <c r="M26" s="68" t="s">
        <v>25</v>
      </c>
      <c r="N26" s="133">
        <f t="shared" ca="1" si="8"/>
        <v>0</v>
      </c>
      <c r="O26" s="76">
        <f t="shared" ca="1" si="0"/>
        <v>0</v>
      </c>
      <c r="P26" s="138"/>
      <c r="Q26" s="72">
        <f t="shared" ca="1" si="2"/>
        <v>6629423</v>
      </c>
      <c r="R26" s="135">
        <f t="shared" ca="1" si="9"/>
        <v>0</v>
      </c>
      <c r="S26" s="72">
        <f t="shared" ca="1" si="3"/>
        <v>6629423</v>
      </c>
      <c r="T26" s="72">
        <f t="shared" ca="1" si="4"/>
        <v>0</v>
      </c>
      <c r="U26" s="72">
        <f t="shared" ca="1" si="5"/>
        <v>0</v>
      </c>
      <c r="V26" s="82">
        <f t="shared" ca="1" si="6"/>
        <v>0</v>
      </c>
      <c r="Y26" s="4">
        <f t="shared" ca="1" si="10"/>
        <v>0</v>
      </c>
      <c r="Z26" s="292">
        <f t="shared" ca="1" si="7"/>
        <v>0</v>
      </c>
      <c r="AA26" s="284">
        <f t="shared" ca="1" si="11"/>
        <v>0</v>
      </c>
      <c r="AB26" s="17"/>
      <c r="AD26" s="148"/>
      <c r="AE26" s="148"/>
      <c r="AF26" s="462">
        <f ca="1">V31/1000</f>
        <v>0</v>
      </c>
      <c r="AG26" s="462"/>
      <c r="AH26" s="462"/>
      <c r="AO26" s="276"/>
      <c r="AQ26" s="280"/>
      <c r="AR26" s="41"/>
      <c r="AS26" s="41"/>
      <c r="AT26" s="41"/>
    </row>
    <row r="27" spans="2:46">
      <c r="B27" s="261" t="s">
        <v>71</v>
      </c>
      <c r="C27" s="450">
        <f ca="1">E260</f>
        <v>86.860724355771112</v>
      </c>
      <c r="E27" s="445"/>
      <c r="F27" s="445"/>
      <c r="G27" s="445"/>
      <c r="H27" s="446"/>
      <c r="I27" s="446"/>
      <c r="K27" s="83" t="s">
        <v>30</v>
      </c>
      <c r="L27" s="68" t="s">
        <v>31</v>
      </c>
      <c r="M27" s="68" t="s">
        <v>56</v>
      </c>
      <c r="N27" s="133">
        <f t="shared" ca="1" si="8"/>
        <v>3.7793309091474381</v>
      </c>
      <c r="O27" s="76">
        <f t="shared" ca="1" si="0"/>
        <v>2.1537336233761084</v>
      </c>
      <c r="P27" s="138">
        <f ca="1">IFERROR(+N27/O27-1,"")</f>
        <v>0.75478103147366338</v>
      </c>
      <c r="Q27" s="72">
        <f t="shared" ca="1" si="2"/>
        <v>0</v>
      </c>
      <c r="R27" s="135">
        <f t="shared" ca="1" si="9"/>
        <v>0</v>
      </c>
      <c r="S27" s="72">
        <f t="shared" ca="1" si="3"/>
        <v>0</v>
      </c>
      <c r="T27" s="72">
        <f t="shared" ca="1" si="4"/>
        <v>0</v>
      </c>
      <c r="U27" s="72">
        <f t="shared" ca="1" si="5"/>
        <v>0</v>
      </c>
      <c r="V27" s="82">
        <f t="shared" ca="1" si="6"/>
        <v>0</v>
      </c>
      <c r="Y27" s="4">
        <f t="shared" ca="1" si="10"/>
        <v>1.292625255795874</v>
      </c>
      <c r="Z27" s="292">
        <f t="shared" ca="1" si="7"/>
        <v>1.6117764650580626</v>
      </c>
      <c r="AA27" s="284">
        <f t="shared" ca="1" si="11"/>
        <v>0</v>
      </c>
      <c r="AB27" s="17"/>
      <c r="AD27" s="148"/>
      <c r="AE27" s="148" t="s">
        <v>253</v>
      </c>
      <c r="AF27" s="486" t="str">
        <f ca="1">IFERROR(LOOKUP($C$4,#REF!,#REF!)/1000,"n.a.")</f>
        <v>n.a.</v>
      </c>
      <c r="AG27" s="148"/>
      <c r="AH27" s="148"/>
      <c r="AO27" s="276"/>
      <c r="AQ27" s="280"/>
      <c r="AS27" s="41"/>
      <c r="AT27" s="41"/>
    </row>
    <row r="28" spans="2:46">
      <c r="B28" s="261" t="s">
        <v>300</v>
      </c>
      <c r="C28" s="449">
        <f ca="1">LOOKUP($C$4,Tariff_SimCalculation!$O$9:$Q$9,Tariff_SimCalculation!$O$13:$Q$13)</f>
        <v>0.25</v>
      </c>
      <c r="E28" s="445"/>
      <c r="F28" s="445"/>
      <c r="G28" s="445"/>
      <c r="H28" s="446"/>
      <c r="I28" s="446"/>
      <c r="K28" s="99" t="s">
        <v>30</v>
      </c>
      <c r="L28" s="100" t="s">
        <v>31</v>
      </c>
      <c r="M28" s="100" t="s">
        <v>25</v>
      </c>
      <c r="N28" s="133">
        <f t="shared" ca="1" si="8"/>
        <v>1.8680227073052884</v>
      </c>
      <c r="O28" s="101">
        <f t="shared" ca="1" si="0"/>
        <v>1.0740053140783503</v>
      </c>
      <c r="P28" s="139">
        <f ca="1">IFERROR(+N28/O28-1,"")</f>
        <v>0.73930490177166219</v>
      </c>
      <c r="Q28" s="102">
        <f t="shared" ca="1" si="2"/>
        <v>6629423</v>
      </c>
      <c r="R28" s="136">
        <f t="shared" ca="1" si="9"/>
        <v>12383.912700331946</v>
      </c>
      <c r="S28" s="102">
        <f t="shared" ca="1" si="3"/>
        <v>6629423</v>
      </c>
      <c r="T28" s="102">
        <f t="shared" ca="1" si="4"/>
        <v>0</v>
      </c>
      <c r="U28" s="102">
        <f t="shared" ca="1" si="5"/>
        <v>12383.912700331946</v>
      </c>
      <c r="V28" s="103">
        <f t="shared" ca="1" si="6"/>
        <v>0</v>
      </c>
      <c r="X28" s="49"/>
      <c r="Y28" s="336">
        <f t="shared" ca="1" si="10"/>
        <v>0.63891026954496288</v>
      </c>
      <c r="Z28" s="293">
        <f t="shared" ca="1" si="7"/>
        <v>0.79665822025304212</v>
      </c>
      <c r="AA28" s="285">
        <f t="shared" ca="1" si="11"/>
        <v>0</v>
      </c>
      <c r="AB28" s="17"/>
      <c r="AD28" s="148"/>
      <c r="AE28" s="148"/>
      <c r="AF28" s="478"/>
      <c r="AG28" s="148"/>
      <c r="AH28" s="148"/>
      <c r="AO28" s="276"/>
      <c r="AQ28" s="280"/>
      <c r="AS28" s="41"/>
      <c r="AT28" s="41"/>
    </row>
    <row r="29" spans="2:46">
      <c r="E29" s="445"/>
      <c r="F29" s="445"/>
      <c r="G29" s="445"/>
      <c r="H29" s="446"/>
      <c r="I29" s="446"/>
      <c r="K29" s="119" t="s">
        <v>58</v>
      </c>
      <c r="L29" s="124"/>
      <c r="M29" s="125"/>
      <c r="N29" s="125"/>
      <c r="O29" s="125"/>
      <c r="P29" s="125"/>
      <c r="Q29" s="122">
        <f t="shared" ref="Q29:V29" ca="1" si="12">SUM(Q7:Q28)</f>
        <v>67518772</v>
      </c>
      <c r="R29" s="131">
        <f ca="1">SUM(R7:R28)</f>
        <v>158319.58556243478</v>
      </c>
      <c r="S29" s="122">
        <f t="shared" ca="1" si="12"/>
        <v>67518772</v>
      </c>
      <c r="T29" s="122">
        <f t="shared" ca="1" si="12"/>
        <v>0</v>
      </c>
      <c r="U29" s="131">
        <f ca="1">SUM(U7:U28)</f>
        <v>158319.58556243478</v>
      </c>
      <c r="V29" s="123">
        <f t="shared" ca="1" si="12"/>
        <v>0</v>
      </c>
      <c r="X29" s="283">
        <f ca="1">R29*1000/Q29</f>
        <v>2.3448232376387823</v>
      </c>
      <c r="Y29" s="283">
        <f ca="1">IF(R30&gt;0,R30*1000/Q29,0)</f>
        <v>0.80198792066945135</v>
      </c>
      <c r="AA29" s="503">
        <f ca="1">MAX(0,SUM(AA7:AA28))</f>
        <v>0</v>
      </c>
      <c r="AB29" s="289" t="s">
        <v>59</v>
      </c>
      <c r="AD29" s="148"/>
      <c r="AE29" s="148"/>
      <c r="AF29" s="148"/>
      <c r="AG29" s="148"/>
      <c r="AH29" s="148"/>
      <c r="AP29" s="257"/>
      <c r="AQ29" s="257"/>
      <c r="AR29" s="284"/>
      <c r="AS29" s="41"/>
      <c r="AT29" s="41"/>
    </row>
    <row r="30" spans="2:46">
      <c r="E30" s="445"/>
      <c r="F30" s="445"/>
      <c r="G30" s="445"/>
      <c r="H30" s="446"/>
      <c r="I30" s="446"/>
      <c r="K30" s="80"/>
      <c r="L30" s="69"/>
      <c r="M30" s="71"/>
      <c r="N30" s="71"/>
      <c r="O30" s="71"/>
      <c r="P30" s="71"/>
      <c r="Q30" s="126" t="s">
        <v>105</v>
      </c>
      <c r="R30" s="74">
        <f ca="1">R29-(costs_GCA_capa)/1000</f>
        <v>54149.23956243477</v>
      </c>
      <c r="T30" s="482" t="s">
        <v>325</v>
      </c>
      <c r="U30" s="483">
        <f ca="1">U29+R31</f>
        <v>104170.34600000001</v>
      </c>
      <c r="V30" s="481"/>
      <c r="Z30" s="43" t="s">
        <v>120</v>
      </c>
      <c r="AA30" s="288">
        <f ca="1">U30+AA29</f>
        <v>104170.34600000001</v>
      </c>
      <c r="AB30" s="289" t="s">
        <v>59</v>
      </c>
      <c r="AD30" s="148"/>
      <c r="AE30" s="476" t="s">
        <v>254</v>
      </c>
      <c r="AF30" s="478">
        <f ca="1">LOOKUP($C$4,Tariff_SimCalculation!$O$9:$Q$9,Tariff_SimCalculation!$O$29:$Q$29)/1000</f>
        <v>2.0086466763282496</v>
      </c>
      <c r="AG30" s="148"/>
      <c r="AH30" s="148"/>
      <c r="AQ30" s="280"/>
      <c r="AS30" s="41"/>
      <c r="AT30" s="41"/>
    </row>
    <row r="31" spans="2:46">
      <c r="E31" s="445"/>
      <c r="F31" s="445"/>
      <c r="G31" s="445"/>
      <c r="H31" s="446"/>
      <c r="I31" s="446"/>
      <c r="K31" s="80"/>
      <c r="L31" s="69"/>
      <c r="M31" s="71"/>
      <c r="N31" s="71"/>
      <c r="O31" s="71"/>
      <c r="P31" s="71"/>
      <c r="Q31" s="126" t="s">
        <v>117</v>
      </c>
      <c r="R31" s="74">
        <f ca="1">R3-R29</f>
        <v>-54149.23956243477</v>
      </c>
      <c r="T31" s="479" t="s">
        <v>326</v>
      </c>
      <c r="U31" s="334">
        <f ca="1">U30+AA29</f>
        <v>104170.34600000001</v>
      </c>
      <c r="V31" s="334">
        <f ca="1">-R3+AA30</f>
        <v>0</v>
      </c>
      <c r="Z31" s="1" t="s">
        <v>324</v>
      </c>
      <c r="AA31" s="53">
        <f ca="1">U29</f>
        <v>158319.58556243478</v>
      </c>
      <c r="AB31" s="289" t="s">
        <v>59</v>
      </c>
      <c r="AD31" s="148"/>
      <c r="AE31" s="476" t="s">
        <v>309</v>
      </c>
      <c r="AF31" s="478">
        <f ca="1">AF30</f>
        <v>2.0086466763282496</v>
      </c>
      <c r="AG31" s="148"/>
      <c r="AH31" s="148"/>
      <c r="AQ31" s="280"/>
      <c r="AS31" s="41"/>
      <c r="AT31" s="41"/>
    </row>
    <row r="32" spans="2:46" ht="15.75" thickBot="1">
      <c r="E32" s="445"/>
      <c r="F32" s="445"/>
      <c r="G32" s="445"/>
      <c r="H32" s="446"/>
      <c r="I32" s="446"/>
      <c r="K32" s="80"/>
      <c r="L32" s="69"/>
      <c r="M32" s="71"/>
      <c r="N32" s="71"/>
      <c r="O32" s="71"/>
      <c r="P32" s="71"/>
      <c r="Q32" s="71"/>
      <c r="R32" s="75"/>
      <c r="V32" s="84"/>
      <c r="Z32" s="171" t="s">
        <v>204</v>
      </c>
      <c r="AA32" s="502">
        <f ca="1">MAX(-R30+AA29,R31)</f>
        <v>-54149.23956243477</v>
      </c>
      <c r="AB32" s="289" t="s">
        <v>59</v>
      </c>
      <c r="AD32" s="148"/>
      <c r="AE32" s="58"/>
      <c r="AF32" s="148"/>
      <c r="AG32" s="148"/>
      <c r="AH32" s="148"/>
      <c r="AQ32" s="280"/>
      <c r="AS32" s="41"/>
      <c r="AT32" s="41"/>
    </row>
    <row r="33" spans="1:48">
      <c r="E33" s="445"/>
      <c r="F33" s="445"/>
      <c r="G33" s="445"/>
      <c r="H33" s="446"/>
      <c r="I33" s="446"/>
      <c r="K33" s="91" t="s">
        <v>13</v>
      </c>
      <c r="L33" s="92"/>
      <c r="M33" s="93"/>
      <c r="N33" s="94"/>
      <c r="O33" s="94"/>
      <c r="P33" s="95"/>
      <c r="Q33" s="150" t="s">
        <v>89</v>
      </c>
      <c r="R33" s="96">
        <f ca="1">costs_TAG_capa/1000</f>
        <v>176990.96</v>
      </c>
      <c r="S33" s="97"/>
      <c r="T33" s="96"/>
      <c r="U33" s="93"/>
      <c r="V33" s="98"/>
      <c r="W33" s="3"/>
      <c r="AD33" s="148"/>
      <c r="AE33" s="58" t="s">
        <v>304</v>
      </c>
      <c r="AF33" s="462">
        <f ca="1">LOOKUP($C$4,Tariff_SimCalculation!$O$9:$Q$9,Tariff_SimCalculation!$O$19:$Q$19)/1000</f>
        <v>15.70815</v>
      </c>
      <c r="AG33" s="148"/>
      <c r="AH33" s="148"/>
      <c r="AQ33" s="280"/>
      <c r="AS33" s="41"/>
      <c r="AT33" s="41"/>
    </row>
    <row r="34" spans="1:48">
      <c r="E34" s="445"/>
      <c r="F34" s="445"/>
      <c r="G34" s="445"/>
      <c r="H34" s="446"/>
      <c r="I34" s="446"/>
      <c r="K34" s="116"/>
      <c r="L34" s="117"/>
      <c r="M34" s="118"/>
      <c r="N34" s="107" t="s">
        <v>60</v>
      </c>
      <c r="O34" s="107" t="s">
        <v>60</v>
      </c>
      <c r="P34" s="137"/>
      <c r="Q34" s="108" t="s">
        <v>38</v>
      </c>
      <c r="R34" s="134" t="s">
        <v>59</v>
      </c>
      <c r="S34" s="108" t="s">
        <v>38</v>
      </c>
      <c r="T34" s="108" t="s">
        <v>38</v>
      </c>
      <c r="U34" s="109" t="s">
        <v>59</v>
      </c>
      <c r="V34" s="110" t="s">
        <v>59</v>
      </c>
      <c r="W34" s="8"/>
      <c r="X34" s="287" t="s">
        <v>60</v>
      </c>
      <c r="Y34" s="287" t="s">
        <v>60</v>
      </c>
      <c r="Z34" s="287"/>
      <c r="AA34" s="287" t="s">
        <v>59</v>
      </c>
      <c r="AD34" s="148"/>
      <c r="AE34" s="58" t="s">
        <v>305</v>
      </c>
      <c r="AF34" s="462">
        <f ca="1">LOOKUP($C$4,Tariff_SimCalculation!$O$9:$Q$9,Tariff_SimCalculation!$O$20:$Q$20)/1000</f>
        <v>5.5107089999999994</v>
      </c>
      <c r="AG34" s="148"/>
      <c r="AH34" s="148"/>
      <c r="AQ34" s="280"/>
      <c r="AS34" s="41"/>
      <c r="AT34" s="41"/>
    </row>
    <row r="35" spans="1:48">
      <c r="E35" s="445"/>
      <c r="F35" s="445"/>
      <c r="G35" s="445"/>
      <c r="H35" s="446"/>
      <c r="I35" s="446"/>
      <c r="K35" s="116"/>
      <c r="L35" s="117"/>
      <c r="M35" s="118"/>
      <c r="N35" s="111" t="s">
        <v>61</v>
      </c>
      <c r="O35" s="111" t="s">
        <v>119</v>
      </c>
      <c r="P35" s="127" t="s">
        <v>87</v>
      </c>
      <c r="Q35" s="111" t="s">
        <v>113</v>
      </c>
      <c r="R35" s="127" t="s">
        <v>116</v>
      </c>
      <c r="S35" s="111" t="s">
        <v>256</v>
      </c>
      <c r="T35" s="111" t="s">
        <v>256</v>
      </c>
      <c r="U35" s="111" t="s">
        <v>256</v>
      </c>
      <c r="V35" s="112" t="s">
        <v>256</v>
      </c>
      <c r="W35" s="70"/>
      <c r="X35" s="286" t="s">
        <v>13</v>
      </c>
      <c r="Y35" s="286" t="s">
        <v>180</v>
      </c>
      <c r="Z35" s="286" t="s">
        <v>182</v>
      </c>
      <c r="AA35" s="286" t="s">
        <v>176</v>
      </c>
      <c r="AB35" s="17"/>
      <c r="AD35" s="148"/>
      <c r="AE35" s="58" t="s">
        <v>306</v>
      </c>
      <c r="AF35" s="462">
        <f ca="1">LOOKUP($C$4,Tariff_SimCalculation!$O$9:$Q$9,Tariff_SimCalculation!$O$46:$Q$46)/1000</f>
        <v>17.716796676328251</v>
      </c>
      <c r="AG35" s="148"/>
      <c r="AH35" s="148"/>
      <c r="AQ35" s="280"/>
      <c r="AS35" s="41"/>
      <c r="AT35" s="41"/>
    </row>
    <row r="36" spans="1:48">
      <c r="E36" s="445"/>
      <c r="F36" s="445"/>
      <c r="G36" s="445"/>
      <c r="H36" s="446"/>
      <c r="I36" s="446"/>
      <c r="K36" s="129" t="s">
        <v>121</v>
      </c>
      <c r="L36" s="113" t="s">
        <v>28</v>
      </c>
      <c r="M36" s="130" t="s">
        <v>29</v>
      </c>
      <c r="N36" s="113" t="s">
        <v>88</v>
      </c>
      <c r="O36" s="113" t="s">
        <v>327</v>
      </c>
      <c r="P36" s="128" t="s">
        <v>86</v>
      </c>
      <c r="Q36" s="113" t="s">
        <v>62</v>
      </c>
      <c r="R36" s="128" t="s">
        <v>115</v>
      </c>
      <c r="S36" s="113" t="s">
        <v>114</v>
      </c>
      <c r="T36" s="113" t="s">
        <v>118</v>
      </c>
      <c r="U36" s="114" t="s">
        <v>115</v>
      </c>
      <c r="V36" s="115" t="s">
        <v>118</v>
      </c>
      <c r="W36" s="70"/>
      <c r="X36" s="282" t="s">
        <v>178</v>
      </c>
      <c r="Y36" s="282" t="s">
        <v>179</v>
      </c>
      <c r="Z36" s="282" t="s">
        <v>181</v>
      </c>
      <c r="AA36" s="48" t="s">
        <v>177</v>
      </c>
      <c r="AB36" s="17"/>
      <c r="AD36" s="148"/>
      <c r="AE36" s="58" t="s">
        <v>307</v>
      </c>
      <c r="AF36" s="462">
        <f ca="1">LOOKUP($C$4,Tariff_SimCalculation!$O$9:$Q$9,Tariff_SimCalculation!$O$47:$Q$47)/1000</f>
        <v>3.5020623236717485</v>
      </c>
      <c r="AG36" s="148"/>
      <c r="AH36" s="148"/>
      <c r="AQ36" s="280"/>
      <c r="AS36" s="41"/>
      <c r="AT36" s="41"/>
    </row>
    <row r="37" spans="1:48">
      <c r="E37" s="445"/>
      <c r="F37" s="445"/>
      <c r="G37" s="445"/>
      <c r="H37" s="446"/>
      <c r="I37" s="446"/>
      <c r="K37" s="81" t="s">
        <v>21</v>
      </c>
      <c r="L37" s="68" t="s">
        <v>31</v>
      </c>
      <c r="M37" s="68" t="s">
        <v>22</v>
      </c>
      <c r="N37" s="133">
        <f t="shared" ref="N37:N42" ca="1" si="13">J75</f>
        <v>2.7736328397447485</v>
      </c>
      <c r="O37" s="76">
        <f t="shared" ref="O37:O42" ca="1" si="14">I75</f>
        <v>1.372598089052816</v>
      </c>
      <c r="P37" s="138">
        <f t="shared" ref="P37:P42" ca="1" si="15">IFERROR(+N37/O37-1,0)</f>
        <v>1.0207173985348761</v>
      </c>
      <c r="Q37" s="72">
        <f t="shared" ref="Q37:Q42" ca="1" si="16">G75</f>
        <v>8239697</v>
      </c>
      <c r="R37" s="135">
        <f t="shared" ref="R37:R42" ca="1" si="17">N37*Q37/1000</f>
        <v>22853.894188746286</v>
      </c>
      <c r="S37" s="72">
        <f t="shared" ref="S37:S42" ca="1" si="18">H75</f>
        <v>8239697</v>
      </c>
      <c r="T37" s="72">
        <f t="shared" ref="T37:T42" ca="1" si="19">S37-Q37</f>
        <v>0</v>
      </c>
      <c r="U37" s="72">
        <f t="shared" ref="U37:U42" ca="1" si="20">N37*S37/1000</f>
        <v>22853.894188746286</v>
      </c>
      <c r="V37" s="82">
        <f t="shared" ref="V37:V42" ca="1" si="21">U37-R37</f>
        <v>0</v>
      </c>
      <c r="Z37" s="292">
        <f t="shared" ref="Z37:Z42" ca="1" si="22">N37/$X$43</f>
        <v>0.58058197576948611</v>
      </c>
      <c r="AA37" s="284">
        <f t="shared" ref="AA37:AA42" ca="1" si="23">-Z37*T37*$Y$43/1000</f>
        <v>0</v>
      </c>
      <c r="AB37" s="41"/>
      <c r="AD37" s="148"/>
      <c r="AE37" s="58" t="s">
        <v>308</v>
      </c>
      <c r="AF37" s="463">
        <f ca="1">+AF30</f>
        <v>2.0086466763282496</v>
      </c>
      <c r="AG37" s="148"/>
      <c r="AH37" s="148"/>
      <c r="AO37" s="41"/>
      <c r="AQ37" s="280"/>
      <c r="AS37" s="41"/>
      <c r="AT37" s="41"/>
    </row>
    <row r="38" spans="1:48">
      <c r="E38" s="445"/>
      <c r="F38" s="445"/>
      <c r="G38" s="445"/>
      <c r="H38" s="446"/>
      <c r="I38" s="446"/>
      <c r="K38" s="81" t="s">
        <v>21</v>
      </c>
      <c r="L38" s="68" t="s">
        <v>31</v>
      </c>
      <c r="M38" s="68" t="s">
        <v>20</v>
      </c>
      <c r="N38" s="133">
        <f t="shared" ca="1" si="13"/>
        <v>2.7736328397447485</v>
      </c>
      <c r="O38" s="76">
        <f t="shared" ca="1" si="14"/>
        <v>1.372598089052816</v>
      </c>
      <c r="P38" s="138">
        <f t="shared" ca="1" si="15"/>
        <v>1.0207173985348761</v>
      </c>
      <c r="Q38" s="72">
        <f t="shared" ca="1" si="16"/>
        <v>6234139</v>
      </c>
      <c r="R38" s="135">
        <f t="shared" ca="1" si="17"/>
        <v>17291.212657933487</v>
      </c>
      <c r="S38" s="72">
        <f t="shared" ca="1" si="18"/>
        <v>6234139</v>
      </c>
      <c r="T38" s="72">
        <f t="shared" ca="1" si="19"/>
        <v>0</v>
      </c>
      <c r="U38" s="72">
        <f t="shared" ca="1" si="20"/>
        <v>17291.212657933487</v>
      </c>
      <c r="V38" s="82">
        <f t="shared" ca="1" si="21"/>
        <v>0</v>
      </c>
      <c r="W38" s="140"/>
      <c r="Z38" s="292">
        <f t="shared" ca="1" si="22"/>
        <v>0.58058197576948611</v>
      </c>
      <c r="AA38" s="284">
        <f t="shared" ca="1" si="23"/>
        <v>0</v>
      </c>
      <c r="AB38" s="41"/>
      <c r="AD38" s="148"/>
      <c r="AE38" s="58" t="s">
        <v>309</v>
      </c>
      <c r="AF38" s="463">
        <f ca="1">+AF31</f>
        <v>2.0086466763282496</v>
      </c>
      <c r="AG38" s="148"/>
      <c r="AH38" s="148"/>
      <c r="AO38" s="41"/>
      <c r="AQ38" s="280"/>
      <c r="AS38" s="41"/>
      <c r="AT38" s="41"/>
    </row>
    <row r="39" spans="1:48">
      <c r="K39" s="83" t="s">
        <v>30</v>
      </c>
      <c r="L39" s="68" t="s">
        <v>31</v>
      </c>
      <c r="M39" s="68" t="s">
        <v>20</v>
      </c>
      <c r="N39" s="133">
        <f t="shared" ca="1" si="13"/>
        <v>10.520923454391017</v>
      </c>
      <c r="O39" s="76">
        <f t="shared" ca="1" si="14"/>
        <v>5.9796699217300029</v>
      </c>
      <c r="P39" s="138">
        <f t="shared" ca="1" si="15"/>
        <v>0.75944886458668703</v>
      </c>
      <c r="Q39" s="72">
        <f t="shared" ca="1" si="16"/>
        <v>6683747</v>
      </c>
      <c r="R39" s="135">
        <f t="shared" ca="1" si="17"/>
        <v>70319.190575515604</v>
      </c>
      <c r="S39" s="72">
        <f t="shared" ca="1" si="18"/>
        <v>6683747</v>
      </c>
      <c r="T39" s="72">
        <f t="shared" ca="1" si="19"/>
        <v>0</v>
      </c>
      <c r="U39" s="72">
        <f t="shared" ca="1" si="20"/>
        <v>70319.190575515604</v>
      </c>
      <c r="V39" s="82">
        <f t="shared" ca="1" si="21"/>
        <v>0</v>
      </c>
      <c r="W39" s="140"/>
      <c r="Z39" s="292">
        <f t="shared" ca="1" si="22"/>
        <v>2.2022592314821283</v>
      </c>
      <c r="AA39" s="284">
        <f t="shared" ca="1" si="23"/>
        <v>0</v>
      </c>
      <c r="AB39" s="41"/>
      <c r="AD39" s="148"/>
      <c r="AE39" s="58" t="s">
        <v>313</v>
      </c>
      <c r="AF39" s="463">
        <f ca="1">+AF35</f>
        <v>17.716796676328251</v>
      </c>
      <c r="AG39" s="148"/>
      <c r="AH39" s="148"/>
      <c r="AO39" s="41"/>
      <c r="AQ39" s="280"/>
      <c r="AS39" s="41"/>
      <c r="AT39" s="41"/>
    </row>
    <row r="40" spans="1:48">
      <c r="E40" s="144" t="s">
        <v>317</v>
      </c>
      <c r="F40" s="465"/>
      <c r="G40" s="466" t="b">
        <f ca="1">IFERROR(AND(ABS(R29+R43-(costs_GCA_capa+costs_TAG_capa)/1000)&lt;10),FALSE)</f>
        <v>1</v>
      </c>
      <c r="H40"/>
      <c r="I40"/>
      <c r="J40" s="437"/>
      <c r="K40" s="83" t="s">
        <v>30</v>
      </c>
      <c r="L40" s="68" t="s">
        <v>31</v>
      </c>
      <c r="M40" s="68" t="s">
        <v>35</v>
      </c>
      <c r="N40" s="133">
        <f t="shared" ca="1" si="13"/>
        <v>2.0916000000000001</v>
      </c>
      <c r="O40" s="76">
        <f t="shared" ca="1" si="14"/>
        <v>1.26</v>
      </c>
      <c r="P40" s="138">
        <f t="shared" ca="1" si="15"/>
        <v>0.66000000000000014</v>
      </c>
      <c r="Q40" s="72">
        <f t="shared" ca="1" si="16"/>
        <v>3562671.9999999963</v>
      </c>
      <c r="R40" s="135">
        <f t="shared" ca="1" si="17"/>
        <v>7451.6847551999927</v>
      </c>
      <c r="S40" s="72">
        <f t="shared" ca="1" si="18"/>
        <v>3562671.9999999963</v>
      </c>
      <c r="T40" s="72">
        <f t="shared" ca="1" si="19"/>
        <v>0</v>
      </c>
      <c r="U40" s="72">
        <f t="shared" ca="1" si="20"/>
        <v>7451.6847551999927</v>
      </c>
      <c r="V40" s="82">
        <f t="shared" ca="1" si="21"/>
        <v>0</v>
      </c>
      <c r="Z40" s="292">
        <f t="shared" ca="1" si="22"/>
        <v>0.43781759543603138</v>
      </c>
      <c r="AA40" s="284">
        <f t="shared" ca="1" si="23"/>
        <v>0</v>
      </c>
      <c r="AB40" s="41"/>
      <c r="AD40" s="148"/>
      <c r="AE40" s="58" t="s">
        <v>314</v>
      </c>
      <c r="AF40" s="463">
        <f ca="1">+AF36</f>
        <v>3.5020623236717485</v>
      </c>
      <c r="AG40" s="148"/>
      <c r="AH40" s="148"/>
      <c r="AO40" s="41"/>
      <c r="AQ40" s="280"/>
      <c r="AS40" s="41"/>
      <c r="AT40" s="41"/>
    </row>
    <row r="41" spans="1:48">
      <c r="D41" s="232"/>
      <c r="E41" s="1"/>
      <c r="H41"/>
      <c r="I41"/>
      <c r="J41" s="4"/>
      <c r="K41" s="83" t="s">
        <v>30</v>
      </c>
      <c r="L41" s="68" t="s">
        <v>31</v>
      </c>
      <c r="M41" s="68" t="s">
        <v>36</v>
      </c>
      <c r="N41" s="133">
        <f t="shared" ca="1" si="13"/>
        <v>7.680818605912572</v>
      </c>
      <c r="O41" s="76">
        <f t="shared" ca="1" si="14"/>
        <v>4.626999160188296</v>
      </c>
      <c r="P41" s="138">
        <f t="shared" ca="1" si="15"/>
        <v>0.66000000000000014</v>
      </c>
      <c r="Q41" s="72">
        <f t="shared" ca="1" si="16"/>
        <v>471870.99999999959</v>
      </c>
      <c r="R41" s="135">
        <f t="shared" ca="1" si="17"/>
        <v>3624.3555563905679</v>
      </c>
      <c r="S41" s="72">
        <f t="shared" ca="1" si="18"/>
        <v>471870.99999999959</v>
      </c>
      <c r="T41" s="72">
        <f t="shared" ca="1" si="19"/>
        <v>0</v>
      </c>
      <c r="U41" s="72">
        <f t="shared" ca="1" si="20"/>
        <v>3624.3555563905679</v>
      </c>
      <c r="V41" s="82">
        <f t="shared" ca="1" si="21"/>
        <v>0</v>
      </c>
      <c r="Z41" s="292">
        <f t="shared" ca="1" si="22"/>
        <v>1.6077632114271243</v>
      </c>
      <c r="AA41" s="284">
        <f t="shared" ca="1" si="23"/>
        <v>0</v>
      </c>
      <c r="AB41" s="41"/>
      <c r="AD41" s="148"/>
      <c r="AE41" s="58" t="s">
        <v>310</v>
      </c>
      <c r="AF41" s="463">
        <f ca="1">AF39-AF38</f>
        <v>15.708150000000002</v>
      </c>
      <c r="AG41" s="148"/>
      <c r="AH41" s="148"/>
      <c r="AO41" s="41"/>
      <c r="AQ41" s="280"/>
      <c r="AS41" s="41"/>
      <c r="AT41" s="41"/>
    </row>
    <row r="42" spans="1:48">
      <c r="H42"/>
      <c r="I42"/>
      <c r="J42" s="5"/>
      <c r="K42" s="484" t="s">
        <v>21</v>
      </c>
      <c r="L42" s="485" t="s">
        <v>32</v>
      </c>
      <c r="M42" s="100" t="s">
        <v>20</v>
      </c>
      <c r="N42" s="133">
        <f t="shared" ca="1" si="13"/>
        <v>2.4962695557702737</v>
      </c>
      <c r="O42" s="101">
        <f t="shared" ca="1" si="14"/>
        <v>1.2353382801475343</v>
      </c>
      <c r="P42" s="139">
        <f t="shared" ca="1" si="15"/>
        <v>1.0207173985348761</v>
      </c>
      <c r="Q42" s="102">
        <f t="shared" ca="1" si="16"/>
        <v>521331</v>
      </c>
      <c r="R42" s="136">
        <f t="shared" ca="1" si="17"/>
        <v>1301.3827037792726</v>
      </c>
      <c r="S42" s="141">
        <f t="shared" ca="1" si="18"/>
        <v>521331</v>
      </c>
      <c r="T42" s="102">
        <f t="shared" ca="1" si="19"/>
        <v>0</v>
      </c>
      <c r="U42" s="102">
        <f t="shared" ca="1" si="20"/>
        <v>1301.3827037792726</v>
      </c>
      <c r="V42" s="103">
        <f t="shared" ca="1" si="21"/>
        <v>0</v>
      </c>
      <c r="W42" s="480" t="s">
        <v>323</v>
      </c>
      <c r="X42" s="49"/>
      <c r="Y42" s="49"/>
      <c r="Z42" s="293">
        <f t="shared" ca="1" si="22"/>
        <v>0.52252377819253748</v>
      </c>
      <c r="AA42" s="285">
        <f t="shared" ca="1" si="23"/>
        <v>0</v>
      </c>
      <c r="AD42" s="148"/>
      <c r="AE42" s="58" t="s">
        <v>311</v>
      </c>
      <c r="AF42" s="463">
        <f ca="1">AF40+AF38</f>
        <v>5.5107089999999985</v>
      </c>
      <c r="AG42" s="148"/>
      <c r="AH42" s="148"/>
      <c r="AQ42" s="280"/>
      <c r="AS42" s="41"/>
      <c r="AT42" s="41"/>
    </row>
    <row r="43" spans="1:48">
      <c r="H43"/>
      <c r="I43"/>
      <c r="K43" s="119" t="s">
        <v>58</v>
      </c>
      <c r="L43" s="120"/>
      <c r="M43" s="121"/>
      <c r="N43" s="121"/>
      <c r="O43" s="121"/>
      <c r="P43" s="121"/>
      <c r="Q43" s="122">
        <f t="shared" ref="Q43:V43" ca="1" si="24">SUM(Q37:Q42)</f>
        <v>25713456.999999996</v>
      </c>
      <c r="R43" s="131">
        <f ca="1">SUM(R37:R42)</f>
        <v>122841.72043756521</v>
      </c>
      <c r="S43" s="122">
        <f t="shared" ca="1" si="24"/>
        <v>25713456.999999996</v>
      </c>
      <c r="T43" s="122">
        <f t="shared" ca="1" si="24"/>
        <v>0</v>
      </c>
      <c r="U43" s="131">
        <f t="shared" ca="1" si="24"/>
        <v>122841.72043756521</v>
      </c>
      <c r="V43" s="123">
        <f t="shared" ca="1" si="24"/>
        <v>0</v>
      </c>
      <c r="W43" s="480">
        <f ca="1">V29+V43</f>
        <v>0</v>
      </c>
      <c r="X43" s="283">
        <f ca="1">R43*1000/Q43</f>
        <v>4.7773319798098415</v>
      </c>
      <c r="Y43" s="283">
        <f ca="1">IF(R44&gt;0,R44*1000/Q43,0)</f>
        <v>0</v>
      </c>
      <c r="AA43" s="290">
        <f ca="1">IF(Y43=0,-AA29,SUM(AA37:AA42))</f>
        <v>0</v>
      </c>
      <c r="AB43" s="289" t="s">
        <v>59</v>
      </c>
      <c r="AD43" s="148"/>
      <c r="AE43" s="58" t="s">
        <v>312</v>
      </c>
      <c r="AF43" s="463">
        <f ca="1">AF38-AF37</f>
        <v>0</v>
      </c>
      <c r="AG43" s="148"/>
      <c r="AH43" s="148"/>
      <c r="AQ43" s="442"/>
      <c r="AR43" s="284"/>
      <c r="AS43" s="41"/>
      <c r="AT43" s="41"/>
    </row>
    <row r="44" spans="1:48">
      <c r="H44"/>
      <c r="I44"/>
      <c r="K44" s="80"/>
      <c r="L44" s="77"/>
      <c r="M44" s="78"/>
      <c r="N44" s="78"/>
      <c r="O44" s="78"/>
      <c r="P44" s="78"/>
      <c r="Q44" s="126" t="s">
        <v>105</v>
      </c>
      <c r="R44" s="74">
        <f ca="1">R43-(costs_TAG_capa)/1000</f>
        <v>-54149.239562434785</v>
      </c>
      <c r="S44" s="78"/>
      <c r="T44" s="482" t="s">
        <v>325</v>
      </c>
      <c r="U44" s="483">
        <f ca="1">U43+R45</f>
        <v>176990.96</v>
      </c>
      <c r="V44" s="481"/>
      <c r="W44" s="13"/>
      <c r="Z44" s="43" t="s">
        <v>120</v>
      </c>
      <c r="AA44" s="288">
        <f ca="1">U44+AA43</f>
        <v>176990.96</v>
      </c>
      <c r="AB44" s="289" t="s">
        <v>59</v>
      </c>
      <c r="AD44" s="148"/>
      <c r="AE44" s="58" t="s">
        <v>315</v>
      </c>
      <c r="AF44" s="464">
        <f ca="1">AF41-AF33</f>
        <v>0</v>
      </c>
      <c r="AG44" s="148"/>
      <c r="AH44" s="148"/>
      <c r="AQ44" s="280"/>
      <c r="AS44" s="41"/>
      <c r="AT44" s="41"/>
    </row>
    <row r="45" spans="1:48">
      <c r="G45" s="1"/>
      <c r="H45" s="1"/>
      <c r="I45" s="1"/>
      <c r="K45" s="80"/>
      <c r="L45" s="77"/>
      <c r="M45" s="78"/>
      <c r="N45" s="78"/>
      <c r="O45" s="78"/>
      <c r="P45" s="78"/>
      <c r="Q45" s="126" t="s">
        <v>117</v>
      </c>
      <c r="R45" s="74">
        <f ca="1">R33-R43</f>
        <v>54149.239562434785</v>
      </c>
      <c r="S45" s="78"/>
      <c r="T45" s="479" t="s">
        <v>326</v>
      </c>
      <c r="U45" s="334">
        <f ca="1">U44+AA43</f>
        <v>176990.96</v>
      </c>
      <c r="V45" s="334">
        <f ca="1">-R33+AA44</f>
        <v>0</v>
      </c>
      <c r="W45" s="480">
        <f ca="1">V31+V45</f>
        <v>0</v>
      </c>
      <c r="Z45" s="1" t="s">
        <v>324</v>
      </c>
      <c r="AA45" s="53">
        <f ca="1">U43</f>
        <v>122841.72043756521</v>
      </c>
      <c r="AB45" s="289" t="s">
        <v>59</v>
      </c>
      <c r="AD45" s="148"/>
      <c r="AE45" s="58" t="s">
        <v>316</v>
      </c>
      <c r="AF45" s="464">
        <f ca="1">AF42-AF34</f>
        <v>0</v>
      </c>
      <c r="AG45" s="148"/>
      <c r="AH45" s="148"/>
      <c r="AQ45" s="280"/>
      <c r="AS45" s="41"/>
      <c r="AT45" s="41"/>
    </row>
    <row r="46" spans="1:48" ht="15.75" thickBot="1">
      <c r="G46" s="1"/>
      <c r="H46" s="1"/>
      <c r="I46" s="1"/>
      <c r="K46" s="85"/>
      <c r="L46" s="89"/>
      <c r="M46" s="90"/>
      <c r="N46" s="90"/>
      <c r="O46" s="90"/>
      <c r="P46" s="90"/>
      <c r="Q46" s="90"/>
      <c r="R46" s="86"/>
      <c r="S46" s="87"/>
      <c r="T46" s="87"/>
      <c r="U46" s="87"/>
      <c r="V46" s="88"/>
      <c r="W46" s="480">
        <f ca="1">W43-W45</f>
        <v>0</v>
      </c>
      <c r="Z46" s="171" t="s">
        <v>204</v>
      </c>
      <c r="AA46" s="291">
        <f ca="1">-AA32</f>
        <v>54149.23956243477</v>
      </c>
      <c r="AB46" s="289" t="s">
        <v>59</v>
      </c>
      <c r="AD46" s="148"/>
      <c r="AE46" s="148"/>
      <c r="AF46" s="148"/>
      <c r="AG46" s="148"/>
      <c r="AH46" s="148"/>
      <c r="AQ46" s="280"/>
      <c r="AS46" s="41"/>
      <c r="AT46" s="41"/>
    </row>
    <row r="47" spans="1:48">
      <c r="E47" s="1"/>
      <c r="F47" s="1"/>
      <c r="G47" s="1"/>
      <c r="H47" s="1"/>
      <c r="I47" s="1"/>
      <c r="Z47" s="171"/>
      <c r="AA47" s="53"/>
      <c r="AB47" s="289"/>
    </row>
    <row r="48" spans="1:48" ht="18.75">
      <c r="A48" s="60" t="s">
        <v>318</v>
      </c>
      <c r="B48" s="60"/>
      <c r="C48" s="60"/>
      <c r="D48" s="60"/>
      <c r="E48" s="60"/>
      <c r="F48" s="60"/>
      <c r="G48" s="60"/>
      <c r="H48" s="61"/>
      <c r="I48" s="61"/>
      <c r="J48" s="60"/>
      <c r="K48" s="60"/>
      <c r="L48" s="60"/>
      <c r="M48" s="60"/>
      <c r="N48" s="60"/>
      <c r="O48" s="60"/>
      <c r="P48" s="60"/>
      <c r="Q48" s="60"/>
      <c r="R48" s="60"/>
      <c r="S48" s="60"/>
      <c r="T48" s="60"/>
      <c r="U48" s="60"/>
      <c r="V48" s="60"/>
      <c r="W48" s="60"/>
      <c r="X48" s="60"/>
      <c r="Y48" s="60"/>
      <c r="Z48" s="60"/>
      <c r="AA48" s="60"/>
      <c r="AB48" s="60"/>
      <c r="AC48" s="60"/>
      <c r="AD48" s="60"/>
      <c r="AE48" s="60"/>
      <c r="AF48" s="60"/>
      <c r="AG48" s="60"/>
      <c r="AH48" s="60"/>
      <c r="AI48" s="60"/>
      <c r="AJ48" s="60"/>
      <c r="AK48" s="60"/>
      <c r="AL48" s="60"/>
      <c r="AM48" s="60"/>
      <c r="AN48" s="60"/>
      <c r="AO48" s="60"/>
      <c r="AP48" s="60"/>
      <c r="AQ48" s="60"/>
      <c r="AR48" s="60"/>
      <c r="AS48" s="60"/>
      <c r="AT48" s="60"/>
      <c r="AU48" s="60"/>
      <c r="AV48" s="60"/>
    </row>
    <row r="49" spans="1:46">
      <c r="F49" s="58"/>
      <c r="G49" s="59"/>
      <c r="H49" s="59"/>
      <c r="I49" s="59"/>
      <c r="K49" s="3"/>
      <c r="R49" s="159"/>
      <c r="S49" s="155"/>
      <c r="T49" s="255"/>
      <c r="U49" s="158"/>
      <c r="V49" s="158"/>
      <c r="W49" s="255"/>
      <c r="X49" s="264"/>
      <c r="Y49" s="155"/>
      <c r="Z49" s="155"/>
      <c r="AA49" s="72"/>
      <c r="AD49" s="159"/>
      <c r="AE49" s="155"/>
      <c r="AF49" s="255"/>
      <c r="AG49" s="158"/>
      <c r="AH49" s="158"/>
      <c r="AI49" s="255"/>
      <c r="AJ49" s="264"/>
      <c r="AK49" s="155"/>
      <c r="AL49" s="155"/>
      <c r="AM49" s="72"/>
      <c r="AN49" s="17"/>
      <c r="AO49" s="17"/>
      <c r="AP49" s="438"/>
      <c r="AQ49" s="438"/>
      <c r="AR49" s="438"/>
      <c r="AS49" s="438"/>
    </row>
    <row r="50" spans="1:46">
      <c r="F50" s="58"/>
      <c r="G50" s="59"/>
      <c r="H50" s="59"/>
      <c r="I50" s="59"/>
      <c r="R50" s="155"/>
      <c r="S50" s="155"/>
      <c r="T50" s="255"/>
      <c r="U50" s="158"/>
      <c r="V50" s="158"/>
      <c r="W50" s="155"/>
      <c r="X50" s="158"/>
      <c r="Y50" s="158"/>
      <c r="Z50" s="155"/>
      <c r="AA50" s="17"/>
      <c r="AD50" s="155"/>
      <c r="AE50" s="155"/>
      <c r="AF50" s="255"/>
      <c r="AG50" s="158"/>
      <c r="AH50" s="158"/>
      <c r="AI50" s="155"/>
      <c r="AJ50" s="158"/>
      <c r="AK50" s="158"/>
      <c r="AL50" s="155"/>
      <c r="AM50" s="17"/>
      <c r="AN50" s="17"/>
      <c r="AO50" s="17"/>
      <c r="AP50" s="438"/>
      <c r="AQ50" s="438"/>
      <c r="AR50" s="438"/>
      <c r="AS50" s="438"/>
      <c r="AT50" s="155"/>
    </row>
    <row r="51" spans="1:46">
      <c r="G51" s="8" t="s">
        <v>63</v>
      </c>
      <c r="H51" s="44" t="s">
        <v>63</v>
      </c>
      <c r="I51" s="8" t="s">
        <v>57</v>
      </c>
      <c r="J51" s="8" t="s">
        <v>57</v>
      </c>
      <c r="N51" t="s">
        <v>335</v>
      </c>
      <c r="O51" s="498">
        <f>+Tariff_SimCalculation!P36</f>
        <v>0.66</v>
      </c>
      <c r="R51" s="155"/>
      <c r="S51" s="155"/>
      <c r="T51" s="155"/>
      <c r="U51" s="156"/>
      <c r="V51" s="156"/>
      <c r="W51" s="155"/>
      <c r="X51" s="166"/>
      <c r="Y51" s="166"/>
      <c r="Z51" s="166"/>
      <c r="AA51" s="17"/>
      <c r="AD51" s="155"/>
      <c r="AE51" s="155"/>
      <c r="AF51" s="155"/>
      <c r="AG51" s="156"/>
      <c r="AH51" s="156"/>
      <c r="AI51" s="155"/>
      <c r="AJ51" s="166"/>
      <c r="AK51" s="166"/>
      <c r="AL51" s="166"/>
      <c r="AM51" s="17"/>
      <c r="AN51" s="17"/>
      <c r="AO51" s="17"/>
      <c r="AR51" s="8"/>
      <c r="AS51" s="8"/>
      <c r="AT51" s="155"/>
    </row>
    <row r="52" spans="1:46" ht="30" customHeight="1">
      <c r="C52" s="48" t="s">
        <v>26</v>
      </c>
      <c r="D52" s="48" t="s">
        <v>27</v>
      </c>
      <c r="E52" s="48" t="s">
        <v>28</v>
      </c>
      <c r="F52" s="48" t="s">
        <v>29</v>
      </c>
      <c r="G52" s="45" t="s">
        <v>110</v>
      </c>
      <c r="H52" s="45" t="s">
        <v>251</v>
      </c>
      <c r="I52" s="45" t="s">
        <v>321</v>
      </c>
      <c r="J52" s="45" t="s">
        <v>112</v>
      </c>
      <c r="K52" s="499" t="s">
        <v>355</v>
      </c>
      <c r="L52" s="515" t="s">
        <v>354</v>
      </c>
      <c r="M52" s="499" t="s">
        <v>336</v>
      </c>
      <c r="N52" s="499" t="s">
        <v>330</v>
      </c>
      <c r="O52" s="499" t="s">
        <v>351</v>
      </c>
      <c r="P52" s="499" t="s">
        <v>346</v>
      </c>
      <c r="Q52" s="499" t="s">
        <v>347</v>
      </c>
      <c r="R52" s="499" t="s">
        <v>348</v>
      </c>
      <c r="S52" s="497"/>
      <c r="T52" s="155"/>
      <c r="U52" s="160"/>
      <c r="V52" s="160"/>
      <c r="W52" s="167"/>
      <c r="X52" s="158"/>
      <c r="Y52" s="158"/>
      <c r="Z52" s="158"/>
      <c r="AD52" s="160"/>
      <c r="AE52" s="155"/>
      <c r="AF52" s="155"/>
      <c r="AG52" s="160"/>
      <c r="AH52" s="160"/>
      <c r="AI52" s="167"/>
      <c r="AJ52" s="158"/>
      <c r="AK52" s="158"/>
      <c r="AL52" s="158"/>
      <c r="AP52" s="2"/>
      <c r="AQ52" s="2"/>
      <c r="AR52" s="7"/>
      <c r="AS52" s="7"/>
      <c r="AT52" s="155"/>
    </row>
    <row r="53" spans="1:46">
      <c r="C53" s="14" t="s">
        <v>0</v>
      </c>
      <c r="D53" t="s">
        <v>21</v>
      </c>
      <c r="E53" t="s">
        <v>31</v>
      </c>
      <c r="F53" t="s">
        <v>22</v>
      </c>
      <c r="G53" s="12">
        <f ca="1">OFFSET(Tariff_SimCalculation!O55,,$C$4-rpm_start_year)</f>
        <v>3366967</v>
      </c>
      <c r="H53" s="12">
        <f ca="1">OFFSET(Tariff_SimCalculation!R55,,$C$4-rpm_start_year)</f>
        <v>3366967</v>
      </c>
      <c r="I53" s="474">
        <f ca="1">'CWD 2025_V1'!J53</f>
        <v>1.372598089052816</v>
      </c>
      <c r="J53" s="469">
        <f ca="1">R53</f>
        <v>2.7736328397447485</v>
      </c>
      <c r="K53" s="511" t="str">
        <f>IF(N53=1,I53*(1+$O$51),"")</f>
        <v/>
      </c>
      <c r="L53" s="13"/>
      <c r="M53" s="4">
        <f ca="1">IF(D53="Entry",INDEX($AS$109:$AT$118,MATCH(F53,$D$109:$D$118,0),IF(E53="FZK",1,2)),INDEX($E$132:$AC$133,IF(E53="FZK",1,2),MATCH(F53,$E$108:$AC$108,0)))</f>
        <v>2.3921715631192404</v>
      </c>
      <c r="N53" s="62"/>
      <c r="O53" s="4">
        <f ca="1">IF(N53=1,MIN(M53,I53*(1+$O$51)),M53)</f>
        <v>2.3921715631192404</v>
      </c>
      <c r="P53" s="66">
        <f ca="1">IF(Tariff_SimCalculation!$W$3&lt;&gt;1,IF(AND($N53&lt;&gt;1,$D53="Exit"),O53*O$89,O53),IF($N53&lt;&gt;1,O53*O$90,O53))</f>
        <v>2.7718051732026026</v>
      </c>
      <c r="Q53" s="4">
        <f ca="1">IF(Tariff_SimCalculation!$W$3&lt;&gt;1,IF(AND($N53&lt;&gt;1,$D53="Exit"),P53*P$89,P53),IF($N53&lt;&gt;1,P53*P$90,P53))</f>
        <v>2.7736328397447485</v>
      </c>
      <c r="R53" s="4">
        <f ca="1">IF(Tariff_SimCalculation!$W$3&lt;&gt;1,IF(AND($N53&lt;&gt;1,$D53="Exit"),Q53*Q$89,Q53),IF($N53&lt;&gt;1,Q53*Q$90,Q53))</f>
        <v>2.7736328397447485</v>
      </c>
      <c r="S53" s="155"/>
      <c r="T53" s="155"/>
      <c r="U53" s="513"/>
      <c r="W53" s="513"/>
      <c r="X53" s="158"/>
      <c r="Y53" s="158"/>
      <c r="Z53" s="158"/>
      <c r="AD53" s="157"/>
      <c r="AE53" s="155"/>
      <c r="AF53" s="155"/>
      <c r="AG53" s="158"/>
      <c r="AH53" s="158"/>
      <c r="AI53" s="167"/>
      <c r="AJ53" s="158"/>
      <c r="AK53" s="158"/>
      <c r="AL53" s="158"/>
      <c r="AR53" s="64"/>
      <c r="AS53" s="64"/>
      <c r="AT53" s="155"/>
    </row>
    <row r="54" spans="1:46">
      <c r="C54" s="14" t="s">
        <v>0</v>
      </c>
      <c r="D54" t="s">
        <v>21</v>
      </c>
      <c r="E54" t="s">
        <v>31</v>
      </c>
      <c r="F54" t="s">
        <v>23</v>
      </c>
      <c r="G54" s="12">
        <f ca="1">OFFSET(Tariff_SimCalculation!O56,,$C$4-rpm_start_year)</f>
        <v>7618999</v>
      </c>
      <c r="H54" s="12">
        <f ca="1">OFFSET(Tariff_SimCalculation!R56,,$C$4-rpm_start_year)</f>
        <v>7618999</v>
      </c>
      <c r="I54" s="474">
        <f ca="1">'CWD 2025_V1'!J54</f>
        <v>1.372598089052816</v>
      </c>
      <c r="J54" s="469">
        <f t="shared" ref="J54:J80" ca="1" si="25">R54</f>
        <v>2.7736328397447485</v>
      </c>
      <c r="K54" s="511" t="str">
        <f t="shared" ref="K54:K80" si="26">IF(N54=1,I54*(1+$O$51),"")</f>
        <v/>
      </c>
      <c r="L54" s="516"/>
      <c r="M54" s="4">
        <f t="shared" ref="M54:M65" ca="1" si="27">IF(D54="Entry",INDEX($AS$109:$AT$118,MATCH(F54,$D$109:$D$118,0),IF(E54="FZK",1,2)),INDEX($E$132:$AC$133,IF(E54="FZK",1,2),MATCH(F54,$E$108:$AC$108,0)))</f>
        <v>2.3921715631192404</v>
      </c>
      <c r="N54" s="62"/>
      <c r="O54" s="4">
        <f t="shared" ref="O54:O77" ca="1" si="28">IF(N54=1,MIN(M54,I54*(1+$O$51)),M54)</f>
        <v>2.3921715631192404</v>
      </c>
      <c r="P54" s="66">
        <f ca="1">IF(Tariff_SimCalculation!$W$3&lt;&gt;1,IF(AND($N54&lt;&gt;1,$D54="Exit"),O54*O$89,O54),IF($N54&lt;&gt;1,O54*O$90,O54))</f>
        <v>2.7718051732026026</v>
      </c>
      <c r="Q54" s="4">
        <f ca="1">IF(Tariff_SimCalculation!$W$3&lt;&gt;1,IF(AND($N54&lt;&gt;1,$D54="Exit"),P54*P$89,P54),IF($N54&lt;&gt;1,P54*P$90,P54))</f>
        <v>2.7736328397447485</v>
      </c>
      <c r="R54" s="4">
        <f ca="1">IF(Tariff_SimCalculation!$W$3&lt;&gt;1,IF(AND($N54&lt;&gt;1,$D54="Exit"),Q54*Q$89,Q54),IF($N54&lt;&gt;1,Q54*Q$90,Q54))</f>
        <v>2.7736328397447485</v>
      </c>
      <c r="S54" s="155"/>
      <c r="T54" s="155"/>
      <c r="U54" s="513"/>
      <c r="W54" s="513"/>
      <c r="X54" s="158"/>
      <c r="Y54" s="158"/>
      <c r="Z54" s="158"/>
      <c r="AD54" s="157"/>
      <c r="AE54" s="155"/>
      <c r="AF54" s="155"/>
      <c r="AG54" s="158"/>
      <c r="AH54" s="158"/>
      <c r="AI54" s="167"/>
      <c r="AJ54" s="158"/>
      <c r="AK54" s="158"/>
      <c r="AL54" s="158"/>
      <c r="AR54" s="64"/>
      <c r="AS54" s="64"/>
      <c r="AT54" s="155"/>
    </row>
    <row r="55" spans="1:46">
      <c r="C55" s="14" t="s">
        <v>0</v>
      </c>
      <c r="D55" t="s">
        <v>21</v>
      </c>
      <c r="E55" t="s">
        <v>31</v>
      </c>
      <c r="F55" t="s">
        <v>24</v>
      </c>
      <c r="G55" s="12">
        <f ca="1">OFFSET(Tariff_SimCalculation!O57,,$C$4-rpm_start_year)</f>
        <v>818029</v>
      </c>
      <c r="H55" s="12">
        <f ca="1">OFFSET(Tariff_SimCalculation!R57,,$C$4-rpm_start_year)</f>
        <v>818029</v>
      </c>
      <c r="I55" s="474">
        <f ca="1">'CWD 2025_V1'!J55</f>
        <v>1.372598089052816</v>
      </c>
      <c r="J55" s="469">
        <f t="shared" ca="1" si="25"/>
        <v>2.7736328397447485</v>
      </c>
      <c r="K55" s="511" t="str">
        <f t="shared" si="26"/>
        <v/>
      </c>
      <c r="L55" s="516"/>
      <c r="M55" s="4">
        <f t="shared" ca="1" si="27"/>
        <v>2.3921715631192404</v>
      </c>
      <c r="N55" s="62"/>
      <c r="O55" s="4">
        <f t="shared" ca="1" si="28"/>
        <v>2.3921715631192404</v>
      </c>
      <c r="P55" s="66">
        <f ca="1">IF(Tariff_SimCalculation!$W$3&lt;&gt;1,IF(AND($N55&lt;&gt;1,$D55="Exit"),O55*O$89,O55),IF($N55&lt;&gt;1,O55*O$90,O55))</f>
        <v>2.7718051732026026</v>
      </c>
      <c r="Q55" s="4">
        <f ca="1">IF(Tariff_SimCalculation!$W$3&lt;&gt;1,IF(AND($N55&lt;&gt;1,$D55="Exit"),P55*P$89,P55),IF($N55&lt;&gt;1,P55*P$90,P55))</f>
        <v>2.7736328397447485</v>
      </c>
      <c r="R55" s="4">
        <f ca="1">IF(Tariff_SimCalculation!$W$3&lt;&gt;1,IF(AND($N55&lt;&gt;1,$D55="Exit"),Q55*Q$89,Q55),IF($N55&lt;&gt;1,Q55*Q$90,Q55))</f>
        <v>2.7736328397447485</v>
      </c>
      <c r="S55" s="155"/>
      <c r="T55" s="155"/>
      <c r="U55" s="513"/>
      <c r="W55" s="513"/>
      <c r="X55" s="158"/>
      <c r="Y55" s="158"/>
      <c r="Z55" s="158"/>
      <c r="AD55" s="157"/>
      <c r="AE55" s="155"/>
      <c r="AF55" s="155"/>
      <c r="AG55" s="158"/>
      <c r="AH55" s="158"/>
      <c r="AI55" s="167"/>
      <c r="AJ55" s="158"/>
      <c r="AK55" s="158"/>
      <c r="AL55" s="158"/>
      <c r="AR55" s="64"/>
      <c r="AS55" s="64"/>
      <c r="AT55" s="155"/>
    </row>
    <row r="56" spans="1:46">
      <c r="A56" s="59"/>
      <c r="C56" s="14" t="s">
        <v>0</v>
      </c>
      <c r="D56" t="s">
        <v>21</v>
      </c>
      <c r="E56" t="s">
        <v>31</v>
      </c>
      <c r="F56" t="s">
        <v>39</v>
      </c>
      <c r="G56" s="12">
        <f ca="1">OFFSET(Tariff_SimCalculation!O58,,$C$4-rpm_start_year)</f>
        <v>0</v>
      </c>
      <c r="H56" s="12">
        <f ca="1">OFFSET(Tariff_SimCalculation!R58,,$C$4-rpm_start_year)</f>
        <v>0</v>
      </c>
      <c r="I56" s="474">
        <f ca="1">'CWD 2025_V1'!J56</f>
        <v>1.372598089052816</v>
      </c>
      <c r="J56" s="469">
        <f t="shared" ca="1" si="25"/>
        <v>2.7736328397447485</v>
      </c>
      <c r="K56" s="511" t="str">
        <f t="shared" si="26"/>
        <v/>
      </c>
      <c r="L56" s="517">
        <f ca="1">IF(Tariff_SimCalculation!X11=1,J53,J53*AF112/AF109)</f>
        <v>2.7736328397447485</v>
      </c>
      <c r="M56" s="4">
        <f t="shared" ca="1" si="27"/>
        <v>2.3921715631192404</v>
      </c>
      <c r="N56" s="62"/>
      <c r="O56" s="4">
        <f t="shared" ca="1" si="28"/>
        <v>2.3921715631192404</v>
      </c>
      <c r="P56" s="66">
        <f ca="1">IF(Tariff_SimCalculation!$W$3&lt;&gt;1,IF(AND($N56&lt;&gt;1,$D56="Exit"),O56*O$89,O56),IF($N56&lt;&gt;1,O56*O$90,O56))</f>
        <v>2.7718051732026026</v>
      </c>
      <c r="Q56" s="4">
        <f ca="1">IF(Tariff_SimCalculation!$W$3&lt;&gt;1,IF(AND($N56&lt;&gt;1,$D56="Exit"),P56*P$89,P56),IF($N56&lt;&gt;1,P56*P$90,P56))</f>
        <v>2.7736328397447485</v>
      </c>
      <c r="R56" s="4">
        <f ca="1">IF(Tariff_SimCalculation!$W$3&lt;&gt;1,IF(AND($N56&lt;&gt;1,$D56="Exit"),Q56*Q$89,Q56),IF($N56&lt;&gt;1,Q56*Q$90,Q56))</f>
        <v>2.7736328397447485</v>
      </c>
      <c r="S56" s="155"/>
      <c r="T56" s="155"/>
      <c r="U56" s="513"/>
      <c r="W56" s="513"/>
      <c r="X56" s="158"/>
      <c r="Y56" s="158"/>
      <c r="Z56" s="158"/>
      <c r="AD56" s="157"/>
      <c r="AE56" s="155"/>
      <c r="AF56" s="155"/>
      <c r="AG56" s="158"/>
      <c r="AH56" s="158"/>
      <c r="AI56" s="155"/>
      <c r="AJ56" s="158"/>
      <c r="AK56" s="158"/>
      <c r="AL56" s="158"/>
      <c r="AR56" s="64"/>
      <c r="AS56" s="64"/>
      <c r="AT56" s="155"/>
    </row>
    <row r="57" spans="1:46">
      <c r="A57" s="59"/>
      <c r="C57" s="14" t="s">
        <v>0</v>
      </c>
      <c r="D57" t="s">
        <v>21</v>
      </c>
      <c r="E57" t="s">
        <v>31</v>
      </c>
      <c r="F57" t="s">
        <v>34</v>
      </c>
      <c r="G57" s="12">
        <f ca="1">OFFSET(Tariff_SimCalculation!O59,,$C$4-rpm_start_year)</f>
        <v>0</v>
      </c>
      <c r="H57" s="12">
        <f ca="1">OFFSET(Tariff_SimCalculation!R59,,$C$4-rpm_start_year)</f>
        <v>0</v>
      </c>
      <c r="I57" s="474">
        <f ca="1">'CWD 2025_V1'!J57</f>
        <v>1.372598089052816</v>
      </c>
      <c r="J57" s="469">
        <f t="shared" ca="1" si="25"/>
        <v>2.7736328397447485</v>
      </c>
      <c r="K57" s="511" t="str">
        <f t="shared" si="26"/>
        <v/>
      </c>
      <c r="L57" s="517">
        <f ca="1">IF(Tariff_SimCalculation!X12=1,J54,J54*AF113/AF110)</f>
        <v>2.7736328397447485</v>
      </c>
      <c r="M57" s="4">
        <f t="shared" ca="1" si="27"/>
        <v>2.3921715631192404</v>
      </c>
      <c r="N57" s="62"/>
      <c r="O57" s="4">
        <f t="shared" ca="1" si="28"/>
        <v>2.3921715631192404</v>
      </c>
      <c r="P57" s="66">
        <f ca="1">IF(Tariff_SimCalculation!$W$3&lt;&gt;1,IF(AND($N57&lt;&gt;1,$D57="Exit"),O57*O$89,O57),IF($N57&lt;&gt;1,O57*O$90,O57))</f>
        <v>2.7718051732026026</v>
      </c>
      <c r="Q57" s="4">
        <f ca="1">IF(Tariff_SimCalculation!$W$3&lt;&gt;1,IF(AND($N57&lt;&gt;1,$D57="Exit"),P57*P$89,P57),IF($N57&lt;&gt;1,P57*P$90,P57))</f>
        <v>2.7736328397447485</v>
      </c>
      <c r="R57" s="4">
        <f ca="1">IF(Tariff_SimCalculation!$W$3&lt;&gt;1,IF(AND($N57&lt;&gt;1,$D57="Exit"),Q57*Q$89,Q57),IF($N57&lt;&gt;1,Q57*Q$90,Q57))</f>
        <v>2.7736328397447485</v>
      </c>
      <c r="S57" s="155"/>
      <c r="T57" s="155"/>
      <c r="U57" s="513"/>
      <c r="W57" s="513"/>
      <c r="Y57" s="166"/>
      <c r="Z57" s="166"/>
      <c r="AA57" s="166"/>
      <c r="AD57" s="157"/>
      <c r="AE57" s="155"/>
      <c r="AF57" s="155"/>
      <c r="AG57" s="158"/>
      <c r="AH57" s="158"/>
      <c r="AK57" s="166"/>
      <c r="AL57" s="166"/>
      <c r="AM57" s="166"/>
      <c r="AR57" s="64"/>
      <c r="AS57" s="64"/>
    </row>
    <row r="58" spans="1:46">
      <c r="A58" s="59"/>
      <c r="C58" s="14" t="s">
        <v>0</v>
      </c>
      <c r="D58" t="s">
        <v>21</v>
      </c>
      <c r="E58" t="s">
        <v>31</v>
      </c>
      <c r="F58" t="s">
        <v>33</v>
      </c>
      <c r="G58" s="12">
        <f ca="1">OFFSET(Tariff_SimCalculation!O60,,$C$4-rpm_start_year)</f>
        <v>0</v>
      </c>
      <c r="H58" s="12">
        <f ca="1">OFFSET(Tariff_SimCalculation!R60,,$C$4-rpm_start_year)</f>
        <v>0</v>
      </c>
      <c r="I58" s="474">
        <f ca="1">'CWD 2025_V1'!J58</f>
        <v>1.372598089052816</v>
      </c>
      <c r="J58" s="469">
        <f t="shared" ca="1" si="25"/>
        <v>2.7736328397447485</v>
      </c>
      <c r="K58" s="511" t="str">
        <f t="shared" si="26"/>
        <v/>
      </c>
      <c r="L58" s="517">
        <f ca="1">IF(Tariff_SimCalculation!X13=1,J55,J55*AF114/AF111)</f>
        <v>2.7736328397447485</v>
      </c>
      <c r="M58" s="4">
        <f t="shared" ca="1" si="27"/>
        <v>2.3921715631192404</v>
      </c>
      <c r="N58" s="62"/>
      <c r="O58" s="4">
        <f t="shared" ca="1" si="28"/>
        <v>2.3921715631192404</v>
      </c>
      <c r="P58" s="66">
        <f ca="1">IF(Tariff_SimCalculation!$W$3&lt;&gt;1,IF(AND($N58&lt;&gt;1,$D58="Exit"),O58*O$89,O58),IF($N58&lt;&gt;1,O58*O$90,O58))</f>
        <v>2.7718051732026026</v>
      </c>
      <c r="Q58" s="4">
        <f ca="1">IF(Tariff_SimCalculation!$W$3&lt;&gt;1,IF(AND($N58&lt;&gt;1,$D58="Exit"),P58*P$89,P58),IF($N58&lt;&gt;1,P58*P$90,P58))</f>
        <v>2.7736328397447485</v>
      </c>
      <c r="R58" s="4">
        <f ca="1">IF(Tariff_SimCalculation!$W$3&lt;&gt;1,IF(AND($N58&lt;&gt;1,$D58="Exit"),Q58*Q$89,Q58),IF($N58&lt;&gt;1,Q58*Q$90,Q58))</f>
        <v>2.7736328397447485</v>
      </c>
      <c r="S58" s="155"/>
      <c r="T58" s="155"/>
      <c r="U58" s="513"/>
      <c r="W58" s="513"/>
      <c r="Y58" s="156"/>
      <c r="Z58" s="156"/>
      <c r="AA58" s="156"/>
      <c r="AD58" s="157"/>
      <c r="AE58" s="155"/>
      <c r="AF58" s="155"/>
      <c r="AG58" s="158"/>
      <c r="AH58" s="158"/>
      <c r="AK58" s="156"/>
      <c r="AL58" s="156"/>
      <c r="AM58" s="156"/>
      <c r="AN58" s="156"/>
      <c r="AO58" s="156"/>
      <c r="AR58" s="64"/>
      <c r="AS58" s="64"/>
    </row>
    <row r="59" spans="1:46">
      <c r="A59" s="59"/>
      <c r="C59" s="14" t="s">
        <v>0</v>
      </c>
      <c r="D59" t="s">
        <v>21</v>
      </c>
      <c r="E59" t="s">
        <v>31</v>
      </c>
      <c r="F59" t="s">
        <v>35</v>
      </c>
      <c r="G59" s="12">
        <f ca="1">OFFSET(Tariff_SimCalculation!O61,,$C$4-rpm_start_year)</f>
        <v>4028400.0000000009</v>
      </c>
      <c r="H59" s="12">
        <f ca="1">OFFSET(Tariff_SimCalculation!R61,,$C$4-rpm_start_year)</f>
        <v>4028400.0000000009</v>
      </c>
      <c r="I59" s="474">
        <f ca="1">'CWD 2025_V1'!J59</f>
        <v>0</v>
      </c>
      <c r="J59" s="469">
        <f t="shared" ca="1" si="25"/>
        <v>0</v>
      </c>
      <c r="K59" s="511" t="str">
        <f t="shared" si="26"/>
        <v/>
      </c>
      <c r="L59" s="516"/>
      <c r="M59" s="4">
        <f t="shared" ca="1" si="27"/>
        <v>0</v>
      </c>
      <c r="N59" s="62"/>
      <c r="O59" s="4">
        <f t="shared" ca="1" si="28"/>
        <v>0</v>
      </c>
      <c r="P59" s="66">
        <f ca="1">IF(Tariff_SimCalculation!$W$3&lt;&gt;1,IF(AND($N59&lt;&gt;1,$D59="Exit"),O59*O$89,O59),IF($N59&lt;&gt;1,O59*O$90,O59))</f>
        <v>0</v>
      </c>
      <c r="Q59" s="4">
        <f ca="1">IF(Tariff_SimCalculation!$W$3&lt;&gt;1,IF(AND($N59&lt;&gt;1,$D59="Exit"),P59*P$89,P59),IF($N59&lt;&gt;1,P59*P$90,P59))</f>
        <v>0</v>
      </c>
      <c r="R59" s="4">
        <f ca="1">IF(Tariff_SimCalculation!$W$3&lt;&gt;1,IF(AND($N59&lt;&gt;1,$D59="Exit"),Q59*Q$89,Q59),IF($N59&lt;&gt;1,Q59*Q$90,Q59))</f>
        <v>0</v>
      </c>
      <c r="S59" s="155"/>
      <c r="T59" s="155"/>
      <c r="U59" s="513"/>
      <c r="W59" s="513"/>
      <c r="X59" s="319"/>
      <c r="Y59" s="317"/>
      <c r="Z59" s="317"/>
      <c r="AA59" s="157"/>
      <c r="AD59" s="157"/>
      <c r="AE59" s="155"/>
      <c r="AF59" s="155"/>
      <c r="AG59" s="158"/>
      <c r="AH59" s="158"/>
      <c r="AJ59" s="319"/>
      <c r="AK59" s="317"/>
      <c r="AL59" s="317"/>
      <c r="AM59" s="157"/>
      <c r="AN59" s="158"/>
      <c r="AO59" s="158"/>
      <c r="AR59" s="64"/>
      <c r="AS59" s="64"/>
    </row>
    <row r="60" spans="1:46">
      <c r="A60" s="59"/>
      <c r="C60" s="14" t="s">
        <v>0</v>
      </c>
      <c r="D60" s="1" t="s">
        <v>30</v>
      </c>
      <c r="E60" t="s">
        <v>31</v>
      </c>
      <c r="F60" t="s">
        <v>22</v>
      </c>
      <c r="G60" s="12">
        <f ca="1">OFFSET(Tariff_SimCalculation!O62,,$C$4-rpm_start_year)</f>
        <v>1975276</v>
      </c>
      <c r="H60" s="12">
        <f ca="1">OFFSET(Tariff_SimCalculation!R62,,$C$4-rpm_start_year)</f>
        <v>1975276</v>
      </c>
      <c r="I60" s="474">
        <f ca="1">'CWD 2025_V1'!J60</f>
        <v>2.1480106281567006</v>
      </c>
      <c r="J60" s="469">
        <f t="shared" ca="1" si="25"/>
        <v>3.7360454146105768</v>
      </c>
      <c r="K60" s="511" t="str">
        <f t="shared" si="26"/>
        <v/>
      </c>
      <c r="L60" s="516"/>
      <c r="M60" s="4">
        <f t="shared" ca="1" si="27"/>
        <v>3.2222223040075959</v>
      </c>
      <c r="N60" s="62"/>
      <c r="O60" s="4">
        <f t="shared" ca="1" si="28"/>
        <v>3.2222223040075959</v>
      </c>
      <c r="P60" s="66">
        <f ca="1">IF(Tariff_SimCalculation!$W$3&lt;&gt;1,IF(AND($N60&lt;&gt;1,$D60="Exit"),O60*O$89,O60),IF($N60&lt;&gt;1,O60*O$90,O60))</f>
        <v>3.7335835728316735</v>
      </c>
      <c r="Q60" s="4">
        <f ca="1">IF(Tariff_SimCalculation!$W$3&lt;&gt;1,IF(AND($N60&lt;&gt;1,$D60="Exit"),P60*P$89,P60),IF($N60&lt;&gt;1,P60*P$90,P60))</f>
        <v>3.7360454146105768</v>
      </c>
      <c r="R60" s="4">
        <f ca="1">IF(Tariff_SimCalculation!$W$3&lt;&gt;1,IF(AND($N60&lt;&gt;1,$D60="Exit"),Q60*Q$89,Q60),IF($N60&lt;&gt;1,Q60*Q$90,Q60))</f>
        <v>3.7360454146105768</v>
      </c>
      <c r="S60" s="155"/>
      <c r="T60" s="155"/>
      <c r="U60" s="513"/>
      <c r="W60" s="513"/>
      <c r="X60" s="319"/>
      <c r="Y60" s="317"/>
      <c r="Z60" s="317"/>
      <c r="AA60" s="157"/>
      <c r="AD60" s="157"/>
      <c r="AE60" s="155"/>
      <c r="AF60" s="155"/>
      <c r="AG60" s="158"/>
      <c r="AH60" s="158"/>
      <c r="AJ60" s="319"/>
      <c r="AK60" s="317"/>
      <c r="AL60" s="317"/>
      <c r="AM60" s="157"/>
      <c r="AN60" s="158"/>
      <c r="AO60" s="158"/>
      <c r="AQ60" s="1"/>
      <c r="AR60" s="64"/>
      <c r="AS60" s="64"/>
    </row>
    <row r="61" spans="1:46">
      <c r="A61" s="59"/>
      <c r="C61" s="14" t="s">
        <v>0</v>
      </c>
      <c r="D61" s="1" t="s">
        <v>30</v>
      </c>
      <c r="E61" t="s">
        <v>31</v>
      </c>
      <c r="F61" t="s">
        <v>23</v>
      </c>
      <c r="G61" s="12">
        <f ca="1">OFFSET(Tariff_SimCalculation!O63,,$C$4-rpm_start_year)</f>
        <v>3366967</v>
      </c>
      <c r="H61" s="12">
        <f ca="1">OFFSET(Tariff_SimCalculation!R63,,$C$4-rpm_start_year)</f>
        <v>3366967</v>
      </c>
      <c r="I61" s="474">
        <f ca="1">'CWD 2025_V1'!J61</f>
        <v>4.3074672467522168</v>
      </c>
      <c r="J61" s="469">
        <f t="shared" ca="1" si="25"/>
        <v>7.5586618182948762</v>
      </c>
      <c r="K61" s="511" t="str">
        <f t="shared" si="26"/>
        <v/>
      </c>
      <c r="L61" s="516"/>
      <c r="M61" s="4">
        <f t="shared" ca="1" si="27"/>
        <v>6.5191093780906435</v>
      </c>
      <c r="N61" s="62"/>
      <c r="O61" s="4">
        <f t="shared" ca="1" si="28"/>
        <v>6.5191093780906435</v>
      </c>
      <c r="P61" s="66">
        <f ca="1">IF(Tariff_SimCalculation!$W$3&lt;&gt;1,IF(AND($N61&lt;&gt;1,$D61="Exit"),O61*O$89,O61),IF($N61&lt;&gt;1,O61*O$90,O61))</f>
        <v>7.5536810893711568</v>
      </c>
      <c r="Q61" s="4">
        <f ca="1">IF(Tariff_SimCalculation!$W$3&lt;&gt;1,IF(AND($N61&lt;&gt;1,$D61="Exit"),P61*P$89,P61),IF($N61&lt;&gt;1,P61*P$90,P61))</f>
        <v>7.5586618182948762</v>
      </c>
      <c r="R61" s="4">
        <f ca="1">IF(Tariff_SimCalculation!$W$3&lt;&gt;1,IF(AND($N61&lt;&gt;1,$D61="Exit"),Q61*Q$89,Q61),IF($N61&lt;&gt;1,Q61*Q$90,Q61))</f>
        <v>7.5586618182948762</v>
      </c>
      <c r="S61" s="155"/>
      <c r="T61" s="155"/>
      <c r="U61" s="513"/>
      <c r="W61" s="513"/>
      <c r="Y61" s="277"/>
      <c r="Z61" s="277"/>
      <c r="AA61" s="318"/>
      <c r="AD61" s="157"/>
      <c r="AE61" s="155"/>
      <c r="AF61" s="155"/>
      <c r="AG61" s="158"/>
      <c r="AH61" s="158"/>
      <c r="AK61" s="277"/>
      <c r="AL61" s="277"/>
      <c r="AM61" s="318"/>
      <c r="AN61" s="158"/>
      <c r="AO61" s="158"/>
      <c r="AQ61" s="1"/>
      <c r="AR61" s="64"/>
      <c r="AS61" s="64"/>
    </row>
    <row r="62" spans="1:46">
      <c r="A62" s="59"/>
      <c r="C62" s="14" t="s">
        <v>0</v>
      </c>
      <c r="D62" s="1" t="s">
        <v>30</v>
      </c>
      <c r="E62" t="s">
        <v>31</v>
      </c>
      <c r="F62" t="s">
        <v>24</v>
      </c>
      <c r="G62" s="12">
        <f ca="1">OFFSET(Tariff_SimCalculation!O64,,$C$4-rpm_start_year)</f>
        <v>0</v>
      </c>
      <c r="H62" s="12">
        <f ca="1">OFFSET(Tariff_SimCalculation!R64,,$C$4-rpm_start_year)</f>
        <v>0</v>
      </c>
      <c r="I62" s="474">
        <f ca="1">'CWD 2025_V1'!J62</f>
        <v>4.3074672467522168</v>
      </c>
      <c r="J62" s="469">
        <f t="shared" ca="1" si="25"/>
        <v>7.5586618182948762</v>
      </c>
      <c r="K62" s="511" t="str">
        <f t="shared" si="26"/>
        <v/>
      </c>
      <c r="L62" s="516"/>
      <c r="M62" s="4">
        <f t="shared" ca="1" si="27"/>
        <v>6.5191093780906435</v>
      </c>
      <c r="N62" s="62"/>
      <c r="O62" s="4">
        <f t="shared" ca="1" si="28"/>
        <v>6.5191093780906435</v>
      </c>
      <c r="P62" s="66">
        <f ca="1">IF(Tariff_SimCalculation!$W$3&lt;&gt;1,IF(AND($N62&lt;&gt;1,$D62="Exit"),O62*O$89,O62),IF($N62&lt;&gt;1,O62*O$90,O62))</f>
        <v>7.5536810893711568</v>
      </c>
      <c r="Q62" s="4">
        <f ca="1">IF(Tariff_SimCalculation!$W$3&lt;&gt;1,IF(AND($N62&lt;&gt;1,$D62="Exit"),P62*P$89,P62),IF($N62&lt;&gt;1,P62*P$90,P62))</f>
        <v>7.5586618182948762</v>
      </c>
      <c r="R62" s="4">
        <f ca="1">IF(Tariff_SimCalculation!$W$3&lt;&gt;1,IF(AND($N62&lt;&gt;1,$D62="Exit"),Q62*Q$89,Q62),IF($N62&lt;&gt;1,Q62*Q$90,Q62))</f>
        <v>7.5586618182948762</v>
      </c>
      <c r="S62" s="155"/>
      <c r="T62" s="155"/>
      <c r="U62" s="513"/>
      <c r="W62" s="513"/>
      <c r="Y62" s="5"/>
      <c r="Z62" s="317"/>
      <c r="AA62" s="158"/>
      <c r="AD62" s="157"/>
      <c r="AE62" s="155"/>
      <c r="AF62" s="155"/>
      <c r="AG62" s="158"/>
      <c r="AH62" s="158"/>
      <c r="AK62" s="5"/>
      <c r="AL62" s="317"/>
      <c r="AM62" s="158"/>
      <c r="AN62" s="158"/>
      <c r="AO62" s="158"/>
      <c r="AQ62" s="1"/>
      <c r="AR62" s="64"/>
      <c r="AS62" s="64"/>
    </row>
    <row r="63" spans="1:46">
      <c r="A63" s="59"/>
      <c r="C63" s="14" t="s">
        <v>0</v>
      </c>
      <c r="D63" s="1" t="s">
        <v>30</v>
      </c>
      <c r="E63" t="s">
        <v>31</v>
      </c>
      <c r="F63" t="s">
        <v>39</v>
      </c>
      <c r="G63" s="12">
        <f ca="1">OFFSET(Tariff_SimCalculation!O65,,$C$4-rpm_start_year)</f>
        <v>3189496</v>
      </c>
      <c r="H63" s="12">
        <f ca="1">OFFSET(Tariff_SimCalculation!R65,,$C$4-rpm_start_year)</f>
        <v>3189496</v>
      </c>
      <c r="I63" s="474">
        <f ca="1">'CWD 2025_V1'!J63</f>
        <v>2.1434083293827535</v>
      </c>
      <c r="J63" s="469">
        <f t="shared" ca="1" si="25"/>
        <v>3.9674104358946902</v>
      </c>
      <c r="K63" s="511" t="str">
        <f t="shared" si="26"/>
        <v/>
      </c>
      <c r="L63" s="516"/>
      <c r="M63" s="4">
        <f t="shared" ca="1" si="27"/>
        <v>3.4217673976066711</v>
      </c>
      <c r="N63" s="62"/>
      <c r="O63" s="4">
        <f t="shared" ca="1" si="28"/>
        <v>3.4217673976066711</v>
      </c>
      <c r="P63" s="66">
        <f ca="1">IF(Tariff_SimCalculation!$W$3&lt;&gt;1,IF(AND($N63&lt;&gt;1,$D63="Exit"),O63*O$89,O63),IF($N63&lt;&gt;1,O63*O$90,O63))</f>
        <v>3.964796137704699</v>
      </c>
      <c r="Q63" s="4">
        <f ca="1">IF(Tariff_SimCalculation!$W$3&lt;&gt;1,IF(AND($N63&lt;&gt;1,$D63="Exit"),P63*P$89,P63),IF($N63&lt;&gt;1,P63*P$90,P63))</f>
        <v>3.9674104358946902</v>
      </c>
      <c r="R63" s="4">
        <f ca="1">IF(Tariff_SimCalculation!$W$3&lt;&gt;1,IF(AND($N63&lt;&gt;1,$D63="Exit"),Q63*Q$89,Q63),IF($N63&lt;&gt;1,Q63*Q$90,Q63))</f>
        <v>3.9674104358946902</v>
      </c>
      <c r="S63" s="155"/>
      <c r="T63" s="155"/>
      <c r="U63" s="513"/>
      <c r="W63" s="513"/>
      <c r="Y63" s="320"/>
      <c r="Z63" s="320"/>
      <c r="AA63" s="156"/>
      <c r="AD63" s="157"/>
      <c r="AE63" s="155"/>
      <c r="AF63" s="155"/>
      <c r="AG63" s="158"/>
      <c r="AH63" s="158"/>
      <c r="AK63" s="320"/>
      <c r="AL63" s="320"/>
      <c r="AM63" s="156"/>
      <c r="AN63" s="158"/>
      <c r="AO63" s="158"/>
      <c r="AQ63" s="1"/>
      <c r="AR63" s="64"/>
      <c r="AS63" s="64"/>
    </row>
    <row r="64" spans="1:46">
      <c r="A64" s="59"/>
      <c r="C64" s="14" t="s">
        <v>0</v>
      </c>
      <c r="D64" s="1" t="s">
        <v>30</v>
      </c>
      <c r="E64" t="s">
        <v>31</v>
      </c>
      <c r="F64" t="s">
        <v>34</v>
      </c>
      <c r="G64" s="12">
        <f ca="1">OFFSET(Tariff_SimCalculation!O66,,$C$4-rpm_start_year)</f>
        <v>0</v>
      </c>
      <c r="H64" s="12">
        <f ca="1">OFFSET(Tariff_SimCalculation!R66,,$C$4-rpm_start_year)</f>
        <v>0</v>
      </c>
      <c r="I64" s="474">
        <f ca="1">'CWD 2025_V1'!J64</f>
        <v>0</v>
      </c>
      <c r="J64" s="469">
        <f t="shared" ca="1" si="25"/>
        <v>0</v>
      </c>
      <c r="K64" s="511" t="str">
        <f t="shared" si="26"/>
        <v/>
      </c>
      <c r="L64" s="517">
        <f ca="1">J63*I121/H121</f>
        <v>3.7363562291045689</v>
      </c>
      <c r="M64" s="4">
        <f t="shared" ca="1" si="27"/>
        <v>0</v>
      </c>
      <c r="N64" s="62"/>
      <c r="O64" s="4">
        <f t="shared" ca="1" si="28"/>
        <v>0</v>
      </c>
      <c r="P64" s="66">
        <f ca="1">IF(Tariff_SimCalculation!$W$3&lt;&gt;1,IF(AND($N64&lt;&gt;1,$D64="Exit"),O64*O$89,O64),IF($N64&lt;&gt;1,O64*O$90,O64))</f>
        <v>0</v>
      </c>
      <c r="Q64" s="4">
        <f ca="1">IF(Tariff_SimCalculation!$W$3&lt;&gt;1,IF(AND($N64&lt;&gt;1,$D64="Exit"),P64*P$89,P64),IF($N64&lt;&gt;1,P64*P$90,P64))</f>
        <v>0</v>
      </c>
      <c r="R64" s="4">
        <f ca="1">IF(Tariff_SimCalculation!$W$3&lt;&gt;1,IF(AND($N64&lt;&gt;1,$D64="Exit"),Q64*Q$89,Q64),IF($N64&lt;&gt;1,Q64*Q$90,Q64))</f>
        <v>0</v>
      </c>
      <c r="S64" s="155"/>
      <c r="T64" s="155"/>
      <c r="U64" s="513"/>
      <c r="W64" s="513"/>
      <c r="X64" s="319"/>
      <c r="Y64" s="317"/>
      <c r="Z64" s="317"/>
      <c r="AA64" s="157"/>
      <c r="AD64" s="157"/>
      <c r="AE64" s="155"/>
      <c r="AF64" s="155"/>
      <c r="AG64" s="158"/>
      <c r="AH64" s="158"/>
      <c r="AJ64" s="319"/>
      <c r="AK64" s="317"/>
      <c r="AL64" s="317"/>
      <c r="AM64" s="157"/>
      <c r="AN64" s="158"/>
      <c r="AO64" s="264"/>
      <c r="AQ64" s="1"/>
      <c r="AR64" s="64"/>
      <c r="AS64" s="64"/>
    </row>
    <row r="65" spans="1:45">
      <c r="A65" s="59"/>
      <c r="C65" s="14" t="s">
        <v>0</v>
      </c>
      <c r="D65" s="1" t="s">
        <v>30</v>
      </c>
      <c r="E65" t="s">
        <v>31</v>
      </c>
      <c r="F65" t="s">
        <v>33</v>
      </c>
      <c r="G65" s="12">
        <f ca="1">OFFSET(Tariff_SimCalculation!O67,,$C$4-rpm_start_year)</f>
        <v>872840</v>
      </c>
      <c r="H65" s="12">
        <f ca="1">OFFSET(Tariff_SimCalculation!R67,,$C$4-rpm_start_year)</f>
        <v>872840</v>
      </c>
      <c r="I65" s="474">
        <f ca="1">'CWD 2025_V1'!J65</f>
        <v>3.7353308470594149</v>
      </c>
      <c r="J65" s="469">
        <f t="shared" ca="1" si="25"/>
        <v>6.5473368606946538</v>
      </c>
      <c r="K65" s="511" t="str">
        <f t="shared" si="26"/>
        <v/>
      </c>
      <c r="L65" s="516"/>
      <c r="M65" s="4">
        <f t="shared" ca="1" si="27"/>
        <v>5.6468732371071599</v>
      </c>
      <c r="N65" s="62"/>
      <c r="O65" s="4">
        <f t="shared" ca="1" si="28"/>
        <v>5.6468732371071599</v>
      </c>
      <c r="P65" s="66">
        <f ca="1">IF(Tariff_SimCalculation!$W$3&lt;&gt;1,IF(AND($N65&lt;&gt;1,$D65="Exit"),O65*O$89,O65),IF($N65&lt;&gt;1,O65*O$90,O65))</f>
        <v>6.5430225374904509</v>
      </c>
      <c r="Q65" s="4">
        <f ca="1">IF(Tariff_SimCalculation!$W$3&lt;&gt;1,IF(AND($N65&lt;&gt;1,$D65="Exit"),P65*P$89,P65),IF($N65&lt;&gt;1,P65*P$90,P65))</f>
        <v>6.5473368606946538</v>
      </c>
      <c r="R65" s="4">
        <f ca="1">IF(Tariff_SimCalculation!$W$3&lt;&gt;1,IF(AND($N65&lt;&gt;1,$D65="Exit"),Q65*Q$89,Q65),IF($N65&lt;&gt;1,Q65*Q$90,Q65))</f>
        <v>6.5473368606946538</v>
      </c>
      <c r="S65" s="155"/>
      <c r="T65" s="155"/>
      <c r="U65" s="513"/>
      <c r="W65" s="513"/>
      <c r="X65" s="319"/>
      <c r="Y65" s="317"/>
      <c r="Z65" s="317"/>
      <c r="AA65" s="157"/>
      <c r="AD65" s="157"/>
      <c r="AE65" s="155"/>
      <c r="AF65" s="155"/>
      <c r="AG65" s="158"/>
      <c r="AH65" s="158"/>
      <c r="AJ65" s="319"/>
      <c r="AK65" s="317"/>
      <c r="AL65" s="317"/>
      <c r="AM65" s="157"/>
      <c r="AN65" s="158"/>
      <c r="AO65" s="158"/>
      <c r="AQ65" s="1"/>
      <c r="AR65" s="64"/>
      <c r="AS65" s="64"/>
    </row>
    <row r="66" spans="1:45">
      <c r="A66" s="59"/>
      <c r="C66" s="14" t="s">
        <v>0</v>
      </c>
      <c r="D66" s="1" t="s">
        <v>30</v>
      </c>
      <c r="E66" t="s">
        <v>31</v>
      </c>
      <c r="F66" t="s">
        <v>35</v>
      </c>
      <c r="G66" s="12">
        <f ca="1">OFFSET(Tariff_SimCalculation!O68,,$C$4-rpm_start_year)</f>
        <v>21422795</v>
      </c>
      <c r="H66" s="12">
        <f ca="1">OFFSET(Tariff_SimCalculation!R68,,$C$4-rpm_start_year)</f>
        <v>21422795</v>
      </c>
      <c r="I66" s="474">
        <f ca="1">'CWD 2025_V1'!J66</f>
        <v>1.26</v>
      </c>
      <c r="J66" s="469">
        <f ca="1">R66</f>
        <v>2.0916000000000001</v>
      </c>
      <c r="K66" s="511">
        <f ca="1">IF(N66=1,I66*(1+$O$51),"")</f>
        <v>2.0916000000000001</v>
      </c>
      <c r="L66" s="516"/>
      <c r="M66" s="4">
        <f ca="1">$N$132</f>
        <v>3.0355007791237676</v>
      </c>
      <c r="N66" s="62">
        <f>IF(Tariff_SimCalculation!F35&lt;&gt;"no",1,0)</f>
        <v>1</v>
      </c>
      <c r="O66" s="4">
        <f t="shared" ca="1" si="28"/>
        <v>2.0916000000000001</v>
      </c>
      <c r="P66" s="66">
        <f ca="1">IF(Tariff_SimCalculation!$W$3&lt;&gt;1,IF(AND($N66&lt;&gt;1,$D66="Exit"),O66*O$89,MIN(MAX(O66,O66*O$89),$I66*(1+$O$51))),IF($N66&lt;&gt;1,O66*O$90,MIN(MAX(O66,O66*O$90),$I66*(1+$O$51))))</f>
        <v>2.0916000000000001</v>
      </c>
      <c r="Q66" s="4">
        <f ca="1">IF(Tariff_SimCalculation!$W$3&lt;&gt;1,IF(AND($N66&lt;&gt;1,$D66="Exit"),P66*P$89,MIN(MAX(P66,P66*P$89),$I66*(1+$O$51))),IF($N66&lt;&gt;1,P66*P$90,MIN(MAX(P66,P66*P$90),$I66*(1+$O$51))))</f>
        <v>2.0916000000000001</v>
      </c>
      <c r="R66" s="4">
        <f ca="1">IF(Tariff_SimCalculation!$W$3&lt;&gt;1,IF(AND($N66&lt;&gt;1,$D66="Exit"),Q66*Q$89,MIN(MAX(Q66,Q66*Q$89),$I66*(1+$O$51))),IF($N66&lt;&gt;1,Q66*Q$90,MIN(MAX(Q66,Q66*Q$90),$I66*(1+$O$51))))</f>
        <v>2.0916000000000001</v>
      </c>
      <c r="S66" s="155"/>
      <c r="T66" s="155"/>
      <c r="U66" s="513"/>
      <c r="W66" s="513"/>
      <c r="Y66" s="277"/>
      <c r="Z66" s="277"/>
      <c r="AA66" s="318"/>
      <c r="AD66" s="157"/>
      <c r="AE66" s="155"/>
      <c r="AF66" s="155"/>
      <c r="AG66" s="158"/>
      <c r="AH66" s="158"/>
      <c r="AK66" s="277"/>
      <c r="AL66" s="277"/>
      <c r="AM66" s="318"/>
      <c r="AN66" s="158"/>
      <c r="AO66" s="158"/>
      <c r="AQ66" s="1"/>
      <c r="AR66" s="64"/>
      <c r="AS66" s="64"/>
    </row>
    <row r="67" spans="1:45">
      <c r="A67" s="59"/>
      <c r="C67" s="14" t="s">
        <v>0</v>
      </c>
      <c r="D67" t="s">
        <v>21</v>
      </c>
      <c r="E67" s="3" t="s">
        <v>32</v>
      </c>
      <c r="F67" t="s">
        <v>24</v>
      </c>
      <c r="G67" s="12">
        <f ca="1">OFFSET(Tariff_SimCalculation!O69,,$C$4-rpm_start_year)</f>
        <v>0</v>
      </c>
      <c r="H67" s="12">
        <f ca="1">OFFSET(Tariff_SimCalculation!R69,,$C$4-rpm_start_year)</f>
        <v>0</v>
      </c>
      <c r="I67" s="474">
        <f ca="1">'CWD 2025_V1'!J67</f>
        <v>1.2353382801475343</v>
      </c>
      <c r="J67" s="469">
        <f t="shared" ca="1" si="25"/>
        <v>2.4962695557702737</v>
      </c>
      <c r="K67" s="511" t="str">
        <f t="shared" si="26"/>
        <v/>
      </c>
      <c r="L67" s="516"/>
      <c r="M67" s="504">
        <f ca="1">IF(D67="Entry",INDEX($AS$109:$AT$118,MATCH(F67,$D$109:$D$118,0),IF(E67="FZK",1,2)),INDEX($E$132:$AC$133,IF(E67="FZK",1,2),MATCH(F67,$E$108:$AC$108,0)))</f>
        <v>2.1529544068073165</v>
      </c>
      <c r="N67" s="505"/>
      <c r="O67" s="506">
        <f ca="1">O55*(1-discount_DZK)</f>
        <v>2.1529544068073165</v>
      </c>
      <c r="P67" s="522">
        <f ca="1">P55*(1-discount_DZK)</f>
        <v>2.4946246558823422</v>
      </c>
      <c r="Q67" s="506">
        <f ca="1">Q55*(1-discount_DZK)</f>
        <v>2.4962695557702737</v>
      </c>
      <c r="R67" s="506">
        <f ca="1">R55*(1-discount_DZK)</f>
        <v>2.4962695557702737</v>
      </c>
      <c r="S67" s="155"/>
      <c r="T67" s="155"/>
      <c r="U67" s="513"/>
      <c r="W67" s="513"/>
      <c r="AD67" s="157"/>
      <c r="AE67" s="155"/>
      <c r="AF67" s="155"/>
      <c r="AG67" s="158"/>
      <c r="AH67" s="158"/>
      <c r="AR67" s="64"/>
      <c r="AS67" s="64"/>
    </row>
    <row r="68" spans="1:45">
      <c r="A68" s="59"/>
      <c r="C68" s="14" t="s">
        <v>0</v>
      </c>
      <c r="D68" s="1" t="s">
        <v>30</v>
      </c>
      <c r="E68" s="3" t="s">
        <v>32</v>
      </c>
      <c r="F68" t="s">
        <v>24</v>
      </c>
      <c r="G68" s="12">
        <f ca="1">OFFSET(Tariff_SimCalculation!O70,,$C$4-rpm_start_year)</f>
        <v>585865</v>
      </c>
      <c r="H68" s="12">
        <f ca="1">OFFSET(Tariff_SimCalculation!R70,,$C$4-rpm_start_year)</f>
        <v>585865</v>
      </c>
      <c r="I68" s="474">
        <f ca="1">'CWD 2025_V1'!J68</f>
        <v>3.8767205220769951</v>
      </c>
      <c r="J68" s="469">
        <f t="shared" ca="1" si="25"/>
        <v>6.8027956364653885</v>
      </c>
      <c r="K68" s="511" t="str">
        <f t="shared" si="26"/>
        <v/>
      </c>
      <c r="L68" s="516"/>
      <c r="M68" s="504">
        <f ca="1">IF(D68="Entry",INDEX($AS$109:$AT$118,MATCH(F68,$D$109:$D$118,0),IF(E68="FZK",1,2)),INDEX($E$132:$AC$133,IF(E68="FZK",1,2),MATCH(F68,$E$108:$AC$108,0)))</f>
        <v>5.8671984402815793</v>
      </c>
      <c r="N68" s="505"/>
      <c r="O68" s="506">
        <f ca="1">O62*(1-discount_DZK)</f>
        <v>5.8671984402815793</v>
      </c>
      <c r="P68" s="522">
        <f ca="1">P62*(1-discount_DZK)</f>
        <v>6.7983129804340416</v>
      </c>
      <c r="Q68" s="506">
        <f ca="1">Q62*(1-discount_DZK)</f>
        <v>6.8027956364653885</v>
      </c>
      <c r="R68" s="506">
        <f ca="1">R62*(1-discount_DZK)</f>
        <v>6.8027956364653885</v>
      </c>
      <c r="S68" s="155"/>
      <c r="T68" s="155"/>
      <c r="U68" s="513"/>
      <c r="W68" s="513"/>
      <c r="X68" s="319"/>
      <c r="Y68" s="317"/>
      <c r="AD68" s="157"/>
      <c r="AE68" s="155"/>
      <c r="AF68" s="155"/>
      <c r="AG68" s="158"/>
      <c r="AH68" s="158"/>
      <c r="AJ68" s="319"/>
      <c r="AK68" s="317"/>
      <c r="AQ68" s="1"/>
      <c r="AR68" s="64"/>
      <c r="AS68" s="64"/>
    </row>
    <row r="69" spans="1:45">
      <c r="A69" s="59"/>
      <c r="C69" s="14" t="s">
        <v>0</v>
      </c>
      <c r="D69" s="1" t="s">
        <v>30</v>
      </c>
      <c r="E69" s="3" t="s">
        <v>32</v>
      </c>
      <c r="F69" t="s">
        <v>35</v>
      </c>
      <c r="G69" s="12">
        <f ca="1">OFFSET(Tariff_SimCalculation!O71,,$C$4-rpm_start_year)</f>
        <v>4635629</v>
      </c>
      <c r="H69" s="12">
        <f ca="1">OFFSET(Tariff_SimCalculation!R71,,$C$4-rpm_start_year)</f>
        <v>4635629</v>
      </c>
      <c r="I69" s="474">
        <f ca="1">'CWD 2025_V1'!J69</f>
        <v>1.1340000000000001</v>
      </c>
      <c r="J69" s="469">
        <f t="shared" ca="1" si="25"/>
        <v>1.8824400000000001</v>
      </c>
      <c r="K69" s="511">
        <f t="shared" ca="1" si="26"/>
        <v>1.8824400000000003</v>
      </c>
      <c r="L69" s="516"/>
      <c r="M69" s="504">
        <f ca="1">$N$133</f>
        <v>2.7319507012113911</v>
      </c>
      <c r="N69" s="505">
        <f>N66</f>
        <v>1</v>
      </c>
      <c r="O69" s="506">
        <f ca="1">O66*(1-discount_DZK)</f>
        <v>1.8824400000000001</v>
      </c>
      <c r="P69" s="522">
        <f ca="1">P66*(1-discount_DZK)</f>
        <v>1.8824400000000001</v>
      </c>
      <c r="Q69" s="506">
        <f ca="1">Q66*(1-discount_DZK)</f>
        <v>1.8824400000000001</v>
      </c>
      <c r="R69" s="506">
        <f ca="1">R66*(1-discount_DZK)</f>
        <v>1.8824400000000001</v>
      </c>
      <c r="S69" s="155"/>
      <c r="T69" s="155"/>
      <c r="U69" s="513"/>
      <c r="W69" s="513"/>
      <c r="AD69" s="157"/>
      <c r="AE69" s="155"/>
      <c r="AF69" s="155"/>
      <c r="AG69" s="158"/>
      <c r="AH69" s="158"/>
      <c r="AQ69" s="1"/>
      <c r="AR69" s="64"/>
      <c r="AS69" s="64"/>
    </row>
    <row r="70" spans="1:45">
      <c r="A70" s="59"/>
      <c r="C70" s="14" t="s">
        <v>0</v>
      </c>
      <c r="D70" s="1" t="s">
        <v>30</v>
      </c>
      <c r="E70" s="3" t="s">
        <v>32</v>
      </c>
      <c r="F70" t="s">
        <v>35</v>
      </c>
      <c r="G70" s="12">
        <f ca="1">OFFSET(Tariff_SimCalculation!O72,,$C$4-rpm_start_year)</f>
        <v>2378663</v>
      </c>
      <c r="H70" s="12">
        <f ca="1">OFFSET(Tariff_SimCalculation!R72,,$C$4-rpm_start_year)</f>
        <v>2378663</v>
      </c>
      <c r="I70" s="474">
        <f ca="1">'CWD 2025_V1'!J70</f>
        <v>1.1340000000000001</v>
      </c>
      <c r="J70" s="469">
        <f t="shared" ca="1" si="25"/>
        <v>1.8824400000000001</v>
      </c>
      <c r="K70" s="511">
        <f t="shared" ca="1" si="26"/>
        <v>1.8824400000000003</v>
      </c>
      <c r="L70" s="516"/>
      <c r="M70" s="504">
        <f ca="1">$N$133</f>
        <v>2.7319507012113911</v>
      </c>
      <c r="N70" s="505">
        <f>N66</f>
        <v>1</v>
      </c>
      <c r="O70" s="506">
        <f ca="1">O66*(1-discount_DZK)</f>
        <v>1.8824400000000001</v>
      </c>
      <c r="P70" s="522">
        <f ca="1">P66*(1-discount_DZK)</f>
        <v>1.8824400000000001</v>
      </c>
      <c r="Q70" s="506">
        <f ca="1">Q66*(1-discount_DZK)</f>
        <v>1.8824400000000001</v>
      </c>
      <c r="R70" s="506">
        <f ca="1">R66*(1-discount_DZK)</f>
        <v>1.8824400000000001</v>
      </c>
      <c r="S70" s="155"/>
      <c r="T70" s="155"/>
      <c r="U70" s="513"/>
      <c r="W70" s="513"/>
      <c r="X70" s="332"/>
      <c r="Y70" s="331"/>
      <c r="AD70" s="157"/>
      <c r="AE70" s="155"/>
      <c r="AF70" s="155"/>
      <c r="AG70" s="158"/>
      <c r="AH70" s="158"/>
      <c r="AJ70" s="332"/>
      <c r="AK70" s="331"/>
      <c r="AQ70" s="1"/>
      <c r="AR70" s="64"/>
      <c r="AS70" s="64"/>
    </row>
    <row r="71" spans="1:45">
      <c r="A71" s="59"/>
      <c r="C71" s="14" t="s">
        <v>0</v>
      </c>
      <c r="D71" t="s">
        <v>21</v>
      </c>
      <c r="E71" t="s">
        <v>31</v>
      </c>
      <c r="F71" t="s">
        <v>56</v>
      </c>
      <c r="G71" s="12">
        <f ca="1">OFFSET(Tariff_SimCalculation!O73,,$C$4-rpm_start_year)</f>
        <v>0</v>
      </c>
      <c r="H71" s="12">
        <f ca="1">OFFSET(Tariff_SimCalculation!R73,,$C$4-rpm_start_year)</f>
        <v>0</v>
      </c>
      <c r="I71" s="474">
        <f ca="1">'CWD 2025_V1'!J71</f>
        <v>0</v>
      </c>
      <c r="J71" s="469">
        <f t="shared" ca="1" si="25"/>
        <v>0</v>
      </c>
      <c r="K71" s="511" t="str">
        <f t="shared" si="26"/>
        <v/>
      </c>
      <c r="L71" s="516"/>
      <c r="M71" s="4">
        <f ca="1">IF(D71="Entry",INDEX($AS$109:$AT$118,MATCH(F71,$D$109:$D$118,0),IF(E71="FZK",1,2)),INDEX($E$132:$AC$133,IF(E71="FZK",1,2),MATCH(F71,$E$108:$AC$108,0)))</f>
        <v>0</v>
      </c>
      <c r="N71" s="62"/>
      <c r="O71" s="4">
        <f t="shared" ca="1" si="28"/>
        <v>0</v>
      </c>
      <c r="P71" s="66">
        <f ca="1">IF(Tariff_SimCalculation!$W$3&lt;&gt;1,IF(AND($N71&lt;&gt;1,$D71="Exit"),O71*O$89,O71),IF($N71&lt;&gt;1,O71*O$90,O71))</f>
        <v>0</v>
      </c>
      <c r="Q71" s="4">
        <f ca="1">IF(Tariff_SimCalculation!$W$3&lt;&gt;1,IF(AND($N71&lt;&gt;1,$D71="Exit"),P71*P$89,P71),IF($N71&lt;&gt;1,P71*P$90,P71))</f>
        <v>0</v>
      </c>
      <c r="R71" s="4">
        <f ca="1">IF(Tariff_SimCalculation!$W$3&lt;&gt;1,IF(AND($N71&lt;&gt;1,$D71="Exit"),Q71*Q$89,Q71),IF($N71&lt;&gt;1,Q71*Q$90,Q71))</f>
        <v>0</v>
      </c>
      <c r="S71" s="155"/>
      <c r="T71" s="155"/>
      <c r="U71" s="513"/>
      <c r="W71" s="513"/>
      <c r="AD71" s="157"/>
      <c r="AE71" s="155"/>
      <c r="AF71" s="155"/>
      <c r="AG71" s="158"/>
      <c r="AH71" s="158"/>
      <c r="AR71" s="64"/>
      <c r="AS71" s="64"/>
    </row>
    <row r="72" spans="1:45">
      <c r="A72" s="59"/>
      <c r="C72" s="14" t="s">
        <v>0</v>
      </c>
      <c r="D72" t="s">
        <v>21</v>
      </c>
      <c r="E72" t="s">
        <v>31</v>
      </c>
      <c r="F72" t="s">
        <v>25</v>
      </c>
      <c r="G72" s="12">
        <f ca="1">OFFSET(Tariff_SimCalculation!O74,,$C$4-rpm_start_year)</f>
        <v>6629423</v>
      </c>
      <c r="H72" s="12">
        <f ca="1">OFFSET(Tariff_SimCalculation!R74,,$C$4-rpm_start_year)</f>
        <v>6629423</v>
      </c>
      <c r="I72" s="474">
        <f ca="1">'CWD 2025_V1'!J72</f>
        <v>0</v>
      </c>
      <c r="J72" s="469">
        <f t="shared" ca="1" si="25"/>
        <v>0</v>
      </c>
      <c r="K72" s="511" t="str">
        <f t="shared" si="26"/>
        <v/>
      </c>
      <c r="L72" s="516"/>
      <c r="M72" s="4">
        <f t="shared" ref="M72:M77" ca="1" si="29">IF(D72="Entry",INDEX($AS$109:$AT$118,MATCH(F72,$D$109:$D$118,0),IF(E72="FZK",1,2)),INDEX($E$132:$AC$133,IF(E72="FZK",1,2),MATCH(F72,$E$108:$AC$108,0)))</f>
        <v>0</v>
      </c>
      <c r="N72" s="62"/>
      <c r="O72" s="4">
        <f t="shared" ca="1" si="28"/>
        <v>0</v>
      </c>
      <c r="P72" s="66">
        <f ca="1">IF(Tariff_SimCalculation!$W$3&lt;&gt;1,IF(AND($N72&lt;&gt;1,$D72="Exit"),O72*O$89,O72),IF($N72&lt;&gt;1,O72*O$90,O72))</f>
        <v>0</v>
      </c>
      <c r="Q72" s="4">
        <f ca="1">IF(Tariff_SimCalculation!$W$3&lt;&gt;1,IF(AND($N72&lt;&gt;1,$D72="Exit"),P72*P$89,P72),IF($N72&lt;&gt;1,P72*P$90,P72))</f>
        <v>0</v>
      </c>
      <c r="R72" s="4">
        <f ca="1">IF(Tariff_SimCalculation!$W$3&lt;&gt;1,IF(AND($N72&lt;&gt;1,$D72="Exit"),Q72*Q$89,Q72),IF($N72&lt;&gt;1,Q72*Q$90,Q72))</f>
        <v>0</v>
      </c>
      <c r="S72" s="155"/>
      <c r="T72" s="155"/>
      <c r="U72" s="513"/>
      <c r="W72" s="513"/>
      <c r="AD72" s="157"/>
      <c r="AE72" s="155"/>
      <c r="AF72" s="155"/>
      <c r="AG72" s="158"/>
      <c r="AH72" s="158"/>
      <c r="AR72" s="64"/>
      <c r="AS72" s="64"/>
    </row>
    <row r="73" spans="1:45">
      <c r="A73" s="59"/>
      <c r="C73" s="14" t="s">
        <v>0</v>
      </c>
      <c r="D73" s="1" t="s">
        <v>30</v>
      </c>
      <c r="E73" t="s">
        <v>31</v>
      </c>
      <c r="F73" t="s">
        <v>56</v>
      </c>
      <c r="G73" s="12">
        <f ca="1">OFFSET(Tariff_SimCalculation!O75,,$C$4-rpm_start_year)</f>
        <v>0</v>
      </c>
      <c r="H73" s="12">
        <f ca="1">OFFSET(Tariff_SimCalculation!R75,,$C$4-rpm_start_year)</f>
        <v>0</v>
      </c>
      <c r="I73" s="474">
        <f ca="1">'CWD 2025_V1'!J73</f>
        <v>2.1537336233761084</v>
      </c>
      <c r="J73" s="469">
        <f t="shared" ca="1" si="25"/>
        <v>3.7793309091474381</v>
      </c>
      <c r="K73" s="511" t="str">
        <f t="shared" si="26"/>
        <v/>
      </c>
      <c r="L73" s="13"/>
      <c r="M73" s="4">
        <f t="shared" ca="1" si="29"/>
        <v>3.2595546890453218</v>
      </c>
      <c r="N73" s="62"/>
      <c r="O73" s="4">
        <f t="shared" ca="1" si="28"/>
        <v>3.2595546890453218</v>
      </c>
      <c r="P73" s="66">
        <f ca="1">IF(Tariff_SimCalculation!$W$3&lt;&gt;1,IF(AND($N73&lt;&gt;1,$D73="Exit"),O73*O$89,O73),IF($N73&lt;&gt;1,O73*O$90,O73))</f>
        <v>3.7768405446855784</v>
      </c>
      <c r="Q73" s="4">
        <f ca="1">IF(Tariff_SimCalculation!$W$3&lt;&gt;1,IF(AND($N73&lt;&gt;1,$D73="Exit"),P73*P$89,P73),IF($N73&lt;&gt;1,P73*P$90,P73))</f>
        <v>3.7793309091474381</v>
      </c>
      <c r="R73" s="4">
        <f ca="1">IF(Tariff_SimCalculation!$W$3&lt;&gt;1,IF(AND($N73&lt;&gt;1,$D73="Exit"),Q73*Q$89,Q73),IF($N73&lt;&gt;1,Q73*Q$90,Q73))</f>
        <v>3.7793309091474381</v>
      </c>
      <c r="S73" s="155"/>
      <c r="T73" s="155"/>
      <c r="U73" s="513"/>
      <c r="W73" s="513"/>
      <c r="AD73" s="157"/>
      <c r="AE73" s="155"/>
      <c r="AF73" s="155"/>
      <c r="AG73" s="158"/>
      <c r="AH73" s="158"/>
      <c r="AQ73" s="1"/>
      <c r="AR73" s="64"/>
      <c r="AS73" s="64"/>
    </row>
    <row r="74" spans="1:45">
      <c r="A74" s="59"/>
      <c r="C74" s="56" t="s">
        <v>0</v>
      </c>
      <c r="D74" s="50" t="s">
        <v>30</v>
      </c>
      <c r="E74" s="49" t="s">
        <v>31</v>
      </c>
      <c r="F74" s="49" t="s">
        <v>25</v>
      </c>
      <c r="G74" s="467">
        <f ca="1">OFFSET(Tariff_SimCalculation!O76,,$C$4-rpm_start_year)</f>
        <v>6629423</v>
      </c>
      <c r="H74" s="467">
        <f ca="1">OFFSET(Tariff_SimCalculation!R76,,$C$4-rpm_start_year)</f>
        <v>6629423</v>
      </c>
      <c r="I74" s="475">
        <f ca="1">'CWD 2025_V1'!J74</f>
        <v>1.0740053140783503</v>
      </c>
      <c r="J74" s="524">
        <f t="shared" ca="1" si="25"/>
        <v>1.8680227073052884</v>
      </c>
      <c r="K74" s="511" t="str">
        <f t="shared" si="26"/>
        <v/>
      </c>
      <c r="L74" s="13"/>
      <c r="M74" s="4">
        <f t="shared" ca="1" si="29"/>
        <v>1.611111152003798</v>
      </c>
      <c r="N74" s="62"/>
      <c r="O74" s="4">
        <f t="shared" ca="1" si="28"/>
        <v>1.611111152003798</v>
      </c>
      <c r="P74" s="66">
        <f ca="1">IF(Tariff_SimCalculation!$W$3&lt;&gt;1,IF(AND($N74&lt;&gt;1,$D74="Exit"),O74*O$89,O74),IF($N74&lt;&gt;1,O74*O$90,O74))</f>
        <v>1.8667917864158368</v>
      </c>
      <c r="Q74" s="4">
        <f ca="1">IF(Tariff_SimCalculation!$W$3&lt;&gt;1,IF(AND($N74&lt;&gt;1,$D74="Exit"),P74*P$89,P74),IF($N74&lt;&gt;1,P74*P$90,P74))</f>
        <v>1.8680227073052884</v>
      </c>
      <c r="R74" s="4">
        <f ca="1">IF(Tariff_SimCalculation!$W$3&lt;&gt;1,IF(AND($N74&lt;&gt;1,$D74="Exit"),Q74*Q$89,Q74),IF($N74&lt;&gt;1,Q74*Q$90,Q74))</f>
        <v>1.8680227073052884</v>
      </c>
      <c r="S74" s="155"/>
      <c r="T74" s="155"/>
      <c r="U74" s="513"/>
      <c r="W74" s="513"/>
      <c r="AD74" s="157"/>
      <c r="AE74" s="155"/>
      <c r="AF74" s="155"/>
      <c r="AG74" s="158"/>
      <c r="AH74" s="158"/>
      <c r="AQ74" s="1"/>
      <c r="AR74" s="64"/>
      <c r="AS74" s="64"/>
    </row>
    <row r="75" spans="1:45">
      <c r="A75" s="59"/>
      <c r="C75" s="1" t="s">
        <v>13</v>
      </c>
      <c r="D75" t="s">
        <v>21</v>
      </c>
      <c r="E75" t="s">
        <v>31</v>
      </c>
      <c r="F75" t="s">
        <v>22</v>
      </c>
      <c r="G75" s="12">
        <f ca="1">OFFSET(Tariff_SimCalculation!O77,,$C$4-rpm_start_year)</f>
        <v>8239697</v>
      </c>
      <c r="H75" s="12">
        <f ca="1">OFFSET(Tariff_SimCalculation!R77,,$C$4-rpm_start_year)</f>
        <v>8239697</v>
      </c>
      <c r="I75" s="474">
        <f ca="1">'CWD 2025_V1'!J75</f>
        <v>1.372598089052816</v>
      </c>
      <c r="J75" s="469">
        <f t="shared" ca="1" si="25"/>
        <v>2.7736328397447485</v>
      </c>
      <c r="K75" s="511" t="str">
        <f t="shared" si="26"/>
        <v/>
      </c>
      <c r="L75" s="13"/>
      <c r="M75" s="4">
        <f t="shared" ca="1" si="29"/>
        <v>2.3921715631192404</v>
      </c>
      <c r="N75" s="62"/>
      <c r="O75" s="4">
        <f t="shared" ca="1" si="28"/>
        <v>2.3921715631192404</v>
      </c>
      <c r="P75" s="66">
        <f ca="1">IF(Tariff_SimCalculation!$W$3&lt;&gt;1,IF(AND($N75&lt;&gt;1,$D75="Exit"),O75*O$89,O75),IF($N75&lt;&gt;1,O75*O$90,O75))</f>
        <v>2.7718051732026026</v>
      </c>
      <c r="Q75" s="4">
        <f ca="1">IF(Tariff_SimCalculation!$W$3&lt;&gt;1,IF(AND($N75&lt;&gt;1,$D75="Exit"),P75*P$89,P75),IF($N75&lt;&gt;1,P75*P$90,P75))</f>
        <v>2.7736328397447485</v>
      </c>
      <c r="R75" s="4">
        <f ca="1">IF(Tariff_SimCalculation!$W$3&lt;&gt;1,IF(AND($N75&lt;&gt;1,$D75="Exit"),Q75*Q$89,Q75),IF($N75&lt;&gt;1,Q75*Q$90,Q75))</f>
        <v>2.7736328397447485</v>
      </c>
      <c r="S75" s="155"/>
      <c r="T75" s="155"/>
      <c r="U75" s="513"/>
      <c r="W75" s="513"/>
      <c r="AD75" s="157"/>
      <c r="AE75" s="155"/>
      <c r="AF75" s="155"/>
      <c r="AG75" s="158"/>
      <c r="AH75" s="158"/>
      <c r="AR75" s="64"/>
      <c r="AS75" s="64"/>
    </row>
    <row r="76" spans="1:45">
      <c r="A76" s="59"/>
      <c r="C76" s="1" t="s">
        <v>13</v>
      </c>
      <c r="D76" t="s">
        <v>21</v>
      </c>
      <c r="E76" t="s">
        <v>31</v>
      </c>
      <c r="F76" t="s">
        <v>20</v>
      </c>
      <c r="G76" s="12">
        <f ca="1">OFFSET(Tariff_SimCalculation!O78,,$C$4-rpm_start_year)</f>
        <v>6234139</v>
      </c>
      <c r="H76" s="12">
        <f ca="1">OFFSET(Tariff_SimCalculation!R78,,$C$4-rpm_start_year)</f>
        <v>6234139</v>
      </c>
      <c r="I76" s="474">
        <f ca="1">'CWD 2025_V1'!J76</f>
        <v>1.372598089052816</v>
      </c>
      <c r="J76" s="469">
        <f t="shared" ca="1" si="25"/>
        <v>2.7736328397447485</v>
      </c>
      <c r="K76" s="511" t="str">
        <f t="shared" si="26"/>
        <v/>
      </c>
      <c r="L76" s="13"/>
      <c r="M76" s="4">
        <f t="shared" ca="1" si="29"/>
        <v>2.3921715631192404</v>
      </c>
      <c r="N76" s="62"/>
      <c r="O76" s="4">
        <f t="shared" ca="1" si="28"/>
        <v>2.3921715631192404</v>
      </c>
      <c r="P76" s="66">
        <f ca="1">IF(Tariff_SimCalculation!$W$3&lt;&gt;1,IF(AND($N76&lt;&gt;1,$D76="Exit"),O76*O$89,O76),IF($N76&lt;&gt;1,O76*O$90,O76))</f>
        <v>2.7718051732026026</v>
      </c>
      <c r="Q76" s="4">
        <f ca="1">IF(Tariff_SimCalculation!$W$3&lt;&gt;1,IF(AND($N76&lt;&gt;1,$D76="Exit"),P76*P$89,P76),IF($N76&lt;&gt;1,P76*P$90,P76))</f>
        <v>2.7736328397447485</v>
      </c>
      <c r="R76" s="4">
        <f ca="1">IF(Tariff_SimCalculation!$W$3&lt;&gt;1,IF(AND($N76&lt;&gt;1,$D76="Exit"),Q76*Q$89,Q76),IF($N76&lt;&gt;1,Q76*Q$90,Q76))</f>
        <v>2.7736328397447485</v>
      </c>
      <c r="S76" s="155"/>
      <c r="T76" s="155"/>
      <c r="U76" s="513"/>
      <c r="W76" s="513"/>
      <c r="AD76" s="157"/>
      <c r="AE76" s="155"/>
      <c r="AF76" s="155"/>
      <c r="AG76" s="158"/>
      <c r="AH76" s="158"/>
      <c r="AR76" s="64"/>
      <c r="AS76" s="64"/>
    </row>
    <row r="77" spans="1:45">
      <c r="A77" s="59"/>
      <c r="C77" s="1" t="s">
        <v>13</v>
      </c>
      <c r="D77" s="1" t="s">
        <v>30</v>
      </c>
      <c r="E77" t="s">
        <v>31</v>
      </c>
      <c r="F77" t="s">
        <v>20</v>
      </c>
      <c r="G77" s="12">
        <f ca="1">OFFSET(Tariff_SimCalculation!O79,,$C$4-rpm_start_year)</f>
        <v>6683747</v>
      </c>
      <c r="H77" s="12">
        <f ca="1">OFFSET(Tariff_SimCalculation!R79,,$C$4-rpm_start_year)</f>
        <v>6683747</v>
      </c>
      <c r="I77" s="474">
        <f ca="1">'CWD 2025_V1'!J77</f>
        <v>5.9796699217300029</v>
      </c>
      <c r="J77" s="469">
        <f t="shared" ca="1" si="25"/>
        <v>10.520923454391017</v>
      </c>
      <c r="K77" s="511" t="str">
        <f t="shared" si="26"/>
        <v/>
      </c>
      <c r="L77" s="13"/>
      <c r="M77" s="4">
        <f t="shared" ca="1" si="29"/>
        <v>9.0739673776232692</v>
      </c>
      <c r="N77" s="62"/>
      <c r="O77" s="4">
        <f t="shared" ca="1" si="28"/>
        <v>9.0739673776232692</v>
      </c>
      <c r="P77" s="66">
        <f ca="1">IF(Tariff_SimCalculation!$W$3&lt;&gt;1,IF(AND($N77&lt;&gt;1,$D77="Exit"),O77*O$89,O77),IF($N77&lt;&gt;1,O77*O$90,O77))</f>
        <v>10.513990763259541</v>
      </c>
      <c r="Q77" s="4">
        <f ca="1">IF(Tariff_SimCalculation!$W$3&lt;&gt;1,IF(AND($N77&lt;&gt;1,$D77="Exit"),P77*P$89,P77),IF($N77&lt;&gt;1,P77*P$90,P77))</f>
        <v>10.520923454391017</v>
      </c>
      <c r="R77" s="4">
        <f ca="1">IF(Tariff_SimCalculation!$W$3&lt;&gt;1,IF(AND($N77&lt;&gt;1,$D77="Exit"),Q77*Q$89,Q77),IF($N77&lt;&gt;1,Q77*Q$90,Q77))</f>
        <v>10.520923454391017</v>
      </c>
      <c r="S77" s="155"/>
      <c r="T77" s="155"/>
      <c r="U77" s="513"/>
      <c r="W77" s="513"/>
      <c r="AD77" s="157"/>
      <c r="AE77" s="155"/>
      <c r="AF77" s="155"/>
      <c r="AG77" s="158"/>
      <c r="AH77" s="158"/>
      <c r="AQ77" s="1"/>
      <c r="AR77" s="64"/>
      <c r="AS77" s="64"/>
    </row>
    <row r="78" spans="1:45">
      <c r="A78" s="59"/>
      <c r="C78" s="1" t="s">
        <v>13</v>
      </c>
      <c r="D78" s="1" t="s">
        <v>30</v>
      </c>
      <c r="E78" t="s">
        <v>31</v>
      </c>
      <c r="F78" t="s">
        <v>35</v>
      </c>
      <c r="G78" s="12">
        <f ca="1">OFFSET(Tariff_SimCalculation!O80,,$C$4-rpm_start_year)</f>
        <v>3562671.9999999963</v>
      </c>
      <c r="H78" s="12">
        <f ca="1">OFFSET(Tariff_SimCalculation!R80,,$C$4-rpm_start_year)</f>
        <v>3562671.9999999963</v>
      </c>
      <c r="I78" s="474">
        <f ca="1">'CWD 2025_V1'!J78</f>
        <v>1.26</v>
      </c>
      <c r="J78" s="469">
        <f ca="1">R78</f>
        <v>2.0916000000000001</v>
      </c>
      <c r="K78" s="511">
        <f t="shared" ca="1" si="26"/>
        <v>2.0916000000000001</v>
      </c>
      <c r="L78" s="13"/>
      <c r="M78" s="508">
        <f ca="1">$N$132</f>
        <v>3.0355007791237676</v>
      </c>
      <c r="N78" s="509">
        <f>N66</f>
        <v>1</v>
      </c>
      <c r="O78" s="508">
        <f ca="1">O66</f>
        <v>2.0916000000000001</v>
      </c>
      <c r="P78" s="523">
        <f ca="1">P66</f>
        <v>2.0916000000000001</v>
      </c>
      <c r="Q78" s="508">
        <f ca="1">Q66</f>
        <v>2.0916000000000001</v>
      </c>
      <c r="R78" s="508">
        <f ca="1">R66</f>
        <v>2.0916000000000001</v>
      </c>
      <c r="S78" s="155"/>
      <c r="T78" s="155"/>
      <c r="U78" s="513"/>
      <c r="W78" s="513"/>
      <c r="AD78" s="157"/>
      <c r="AE78" s="155"/>
      <c r="AF78" s="155"/>
      <c r="AG78" s="158"/>
      <c r="AH78" s="158"/>
      <c r="AQ78" s="1"/>
      <c r="AR78" s="64"/>
      <c r="AS78" s="64"/>
    </row>
    <row r="79" spans="1:45">
      <c r="A79" s="59"/>
      <c r="C79" s="1" t="s">
        <v>13</v>
      </c>
      <c r="D79" s="1" t="s">
        <v>30</v>
      </c>
      <c r="E79" t="s">
        <v>31</v>
      </c>
      <c r="F79" t="s">
        <v>36</v>
      </c>
      <c r="G79" s="12">
        <f ca="1">OFFSET(Tariff_SimCalculation!O81,,$C$4-rpm_start_year)</f>
        <v>471870.99999999959</v>
      </c>
      <c r="H79" s="12">
        <f ca="1">OFFSET(Tariff_SimCalculation!R81,,$C$4-rpm_start_year)</f>
        <v>471870.99999999959</v>
      </c>
      <c r="I79" s="474">
        <f ca="1">'CWD 2025_V1'!J79</f>
        <v>4.626999160188296</v>
      </c>
      <c r="J79" s="469">
        <f t="shared" ca="1" si="25"/>
        <v>7.680818605912572</v>
      </c>
      <c r="K79" s="511">
        <f ca="1">IF(N79=1,I79*(1+$O$51),"")</f>
        <v>7.680818605912572</v>
      </c>
      <c r="L79" s="13"/>
      <c r="M79" s="4">
        <f ca="1">$Z$132</f>
        <v>6.8844218061702218</v>
      </c>
      <c r="N79" s="62">
        <f>+N66</f>
        <v>1</v>
      </c>
      <c r="O79" s="4">
        <f ca="1">IF(Tariff_SimCalculation!$W$4=1,O66,IF(N79=1,MIN(M$79,I79*(1+$O$51)),M79))</f>
        <v>6.8844218061702218</v>
      </c>
      <c r="P79" s="66">
        <f ca="1">IF(Tariff_SimCalculation!$W$4=1,O78,IF(Tariff_SimCalculation!$W$3&lt;&gt;1,IF(AND($N79&lt;&gt;1,$D79="Exit"),O79*O$89,MIN(MAX(O79,O79*O$89),$I79*(1+$O$51))),IF($N79&lt;&gt;1,O79*O$90,MIN(MAX(O79,O79*O$90),$I79*(1+$O$51)))))</f>
        <v>7.680818605912572</v>
      </c>
      <c r="Q79" s="4">
        <f ca="1">IF(Tariff_SimCalculation!$W$4=1,P78,IF(Tariff_SimCalculation!$W$3&lt;&gt;1,IF(AND($N79&lt;&gt;1,$D79="Exit"),P79*P$89,MIN(MAX(P79,P79*P$89),$I79*(1+$O$51))),IF($N79&lt;&gt;1,P79*P$90,MIN(MAX(P79,P79*P$90),$I79*(1+$O$51)))))</f>
        <v>7.680818605912572</v>
      </c>
      <c r="R79" s="4">
        <f ca="1">IF(Tariff_SimCalculation!$W$4=1,Q78,IF(Tariff_SimCalculation!$W$3&lt;&gt;1,IF(AND($N79&lt;&gt;1,$D79="Exit"),Q79*Q$89,MIN(MAX(Q79,Q79*Q$89),$I79*(1+$O$51))),IF($N79&lt;&gt;1,Q79*Q$90,MIN(MAX(Q79,Q79*Q$90),$I79*(1+$O$51)))))</f>
        <v>7.680818605912572</v>
      </c>
      <c r="S79" s="155"/>
      <c r="T79" s="155"/>
      <c r="U79" s="513"/>
      <c r="W79" s="513"/>
      <c r="AD79" s="157"/>
      <c r="AE79" s="155"/>
      <c r="AF79" s="155"/>
      <c r="AG79" s="158"/>
      <c r="AH79" s="158"/>
      <c r="AQ79" s="1"/>
      <c r="AR79" s="64"/>
      <c r="AS79" s="64"/>
    </row>
    <row r="80" spans="1:45">
      <c r="A80" s="59"/>
      <c r="C80" s="50" t="s">
        <v>13</v>
      </c>
      <c r="D80" s="49" t="s">
        <v>21</v>
      </c>
      <c r="E80" s="51" t="s">
        <v>32</v>
      </c>
      <c r="F80" s="49" t="s">
        <v>20</v>
      </c>
      <c r="G80" s="467">
        <f ca="1">OFFSET(Tariff_SimCalculation!O82,,$C$4-rpm_start_year)</f>
        <v>521331</v>
      </c>
      <c r="H80" s="467">
        <f ca="1">OFFSET(Tariff_SimCalculation!R82,,$C$4-rpm_start_year)</f>
        <v>521331</v>
      </c>
      <c r="I80" s="475">
        <f ca="1">'CWD 2025_V1'!J80</f>
        <v>1.2353382801475343</v>
      </c>
      <c r="J80" s="524">
        <f t="shared" ca="1" si="25"/>
        <v>2.4962695557702737</v>
      </c>
      <c r="K80" s="511" t="str">
        <f t="shared" si="26"/>
        <v/>
      </c>
      <c r="L80" s="13"/>
      <c r="M80" s="504">
        <f ca="1">IF(D80="Entry",INDEX($AS$109:$AT$118,MATCH(F80,$D$109:$D$118,0),IF(E80="FZK",1,2)),INDEX($E$132:$AC$133,IF(E80="FZK",1,2),MATCH(F80,$E$108:$AC$108,0)))</f>
        <v>2.1529544068073165</v>
      </c>
      <c r="N80" s="505"/>
      <c r="O80" s="506">
        <f ca="1">O76*(1-discount_DZK)</f>
        <v>2.1529544068073165</v>
      </c>
      <c r="P80" s="522">
        <f ca="1">P76*(1-discount_DZK)</f>
        <v>2.4946246558823422</v>
      </c>
      <c r="Q80" s="506">
        <f ca="1">Q76*(1-discount_DZK)</f>
        <v>2.4962695557702737</v>
      </c>
      <c r="R80" s="506">
        <f ca="1">R76*(1-discount_DZK)</f>
        <v>2.4962695557702737</v>
      </c>
      <c r="S80" s="155"/>
      <c r="T80" s="155"/>
      <c r="U80" s="513"/>
      <c r="W80" s="513"/>
      <c r="AD80" s="157"/>
      <c r="AE80" s="155"/>
      <c r="AF80" s="155"/>
      <c r="AG80" s="158"/>
      <c r="AH80" s="158"/>
      <c r="AR80" s="64"/>
      <c r="AS80" s="64"/>
    </row>
    <row r="81" spans="3:34">
      <c r="C81" s="232" t="s">
        <v>0</v>
      </c>
      <c r="D81" s="58" t="s">
        <v>30</v>
      </c>
      <c r="E81" s="148" t="s">
        <v>31</v>
      </c>
      <c r="F81" s="148" t="s">
        <v>40</v>
      </c>
      <c r="G81" s="12">
        <f ca="1">OFFSET(Tariff_SimCalculation!O83,,$C$4-rpm_start_year)</f>
        <v>0</v>
      </c>
      <c r="H81" s="12">
        <f ca="1">OFFSET(Tariff_SimCalculation!R83,,$C$4-rpm_start_year)</f>
        <v>0</v>
      </c>
      <c r="I81" s="148"/>
      <c r="J81" s="470">
        <f ca="1">J66</f>
        <v>2.0916000000000001</v>
      </c>
      <c r="K81" s="5"/>
      <c r="L81" s="510"/>
      <c r="M81" s="149"/>
      <c r="O81" s="441"/>
      <c r="R81" s="157"/>
      <c r="S81" s="155"/>
      <c r="T81" s="155"/>
      <c r="U81" s="512"/>
      <c r="W81" s="512"/>
      <c r="AD81" s="157"/>
      <c r="AE81" s="155"/>
      <c r="AF81" s="155"/>
      <c r="AG81" s="155"/>
      <c r="AH81" s="155"/>
    </row>
    <row r="82" spans="3:34">
      <c r="C82" s="232" t="s">
        <v>0</v>
      </c>
      <c r="D82" s="58" t="s">
        <v>30</v>
      </c>
      <c r="E82" s="59" t="s">
        <v>32</v>
      </c>
      <c r="F82" s="148" t="s">
        <v>40</v>
      </c>
      <c r="G82" s="12">
        <f ca="1">OFFSET(Tariff_SimCalculation!O84,,$C$4-rpm_start_year)</f>
        <v>4635629</v>
      </c>
      <c r="H82" s="12">
        <f ca="1">OFFSET(Tariff_SimCalculation!R84,,$C$4-rpm_start_year)</f>
        <v>4635629</v>
      </c>
      <c r="I82" s="148"/>
      <c r="J82" s="470">
        <f ca="1">J69</f>
        <v>1.8824400000000001</v>
      </c>
      <c r="K82" s="5"/>
      <c r="L82" s="510"/>
      <c r="R82" s="157"/>
      <c r="S82" s="155"/>
      <c r="T82" s="155"/>
      <c r="U82" s="155"/>
      <c r="V82" s="155"/>
      <c r="AD82" s="157"/>
      <c r="AE82" s="155"/>
      <c r="AF82" s="155"/>
      <c r="AG82" s="155"/>
      <c r="AH82" s="155"/>
    </row>
    <row r="83" spans="3:34">
      <c r="C83" s="232" t="s">
        <v>0</v>
      </c>
      <c r="D83" s="58" t="s">
        <v>30</v>
      </c>
      <c r="E83" s="148" t="s">
        <v>31</v>
      </c>
      <c r="F83" s="148" t="s">
        <v>41</v>
      </c>
      <c r="G83" s="12">
        <f ca="1">OFFSET(Tariff_SimCalculation!O85,,$C$4-rpm_start_year)</f>
        <v>0</v>
      </c>
      <c r="H83" s="12">
        <f ca="1">OFFSET(Tariff_SimCalculation!R85,,$C$4-rpm_start_year)</f>
        <v>0</v>
      </c>
      <c r="I83" s="148"/>
      <c r="J83" s="470">
        <f ca="1">$J$81</f>
        <v>2.0916000000000001</v>
      </c>
      <c r="K83" s="5"/>
      <c r="L83" s="510"/>
      <c r="M83" s="149" t="s">
        <v>338</v>
      </c>
      <c r="N83" t="s">
        <v>340</v>
      </c>
      <c r="O83" s="5">
        <f ca="1">$C$7*$AM$132</f>
        <v>63983481.932508498</v>
      </c>
      <c r="P83" s="5">
        <f ca="1">$C$7*$AM$132</f>
        <v>63983481.932508498</v>
      </c>
      <c r="Q83" s="5">
        <f ca="1">$C$7*$AM$132</f>
        <v>63983481.932508498</v>
      </c>
      <c r="R83" s="157"/>
      <c r="S83" s="155"/>
      <c r="T83" s="155"/>
      <c r="U83" s="155"/>
      <c r="V83" s="155"/>
      <c r="AD83" s="157"/>
      <c r="AE83" s="155"/>
      <c r="AF83" s="155"/>
      <c r="AG83" s="155"/>
      <c r="AH83" s="155"/>
    </row>
    <row r="84" spans="3:34">
      <c r="C84" s="232" t="s">
        <v>0</v>
      </c>
      <c r="D84" s="58" t="s">
        <v>30</v>
      </c>
      <c r="E84" s="148" t="s">
        <v>31</v>
      </c>
      <c r="F84" s="148" t="s">
        <v>42</v>
      </c>
      <c r="G84" s="12">
        <f ca="1">OFFSET(Tariff_SimCalculation!O86,,$C$4-rpm_start_year)</f>
        <v>0</v>
      </c>
      <c r="H84" s="12">
        <f ca="1">OFFSET(Tariff_SimCalculation!R86,,$C$4-rpm_start_year)</f>
        <v>0</v>
      </c>
      <c r="I84" s="148"/>
      <c r="J84" s="470">
        <f ca="1">$J$81</f>
        <v>2.0916000000000001</v>
      </c>
      <c r="K84" s="5"/>
      <c r="L84" s="510"/>
      <c r="M84" s="149" t="s">
        <v>338</v>
      </c>
      <c r="N84" t="s">
        <v>339</v>
      </c>
      <c r="O84" s="5">
        <f ca="1">SUMPRODUCT(O$53:O$80,$G$53:$G$80*("Entry"=$D$53:$D$80))</f>
        <v>63983481.932508498</v>
      </c>
      <c r="P84" s="5">
        <f ca="1">SUMPRODUCT(P$53:P$80,$G$53:$G$80*("Entry"=$D$53:$D$80))</f>
        <v>74137553.072819531</v>
      </c>
      <c r="Q84" s="5">
        <f ca="1">SUMPRODUCT(Q$53:Q$80,$G$53:$G$80*("Entry"=$D$53:$D$80))</f>
        <v>74186437.722641855</v>
      </c>
      <c r="R84" s="157"/>
      <c r="S84" s="155"/>
      <c r="T84" s="155"/>
      <c r="U84" s="155"/>
      <c r="V84" s="155"/>
      <c r="AD84" s="157"/>
      <c r="AE84" s="155"/>
      <c r="AF84" s="155"/>
      <c r="AG84" s="155"/>
      <c r="AH84" s="155"/>
    </row>
    <row r="85" spans="3:34">
      <c r="C85" s="232" t="s">
        <v>0</v>
      </c>
      <c r="D85" s="58" t="s">
        <v>30</v>
      </c>
      <c r="E85" s="148" t="s">
        <v>31</v>
      </c>
      <c r="F85" s="148" t="s">
        <v>43</v>
      </c>
      <c r="G85" s="12">
        <f ca="1">OFFSET(Tariff_SimCalculation!O87,,$C$4-rpm_start_year)</f>
        <v>0</v>
      </c>
      <c r="H85" s="12">
        <f ca="1">OFFSET(Tariff_SimCalculation!R87,,$C$4-rpm_start_year)</f>
        <v>0</v>
      </c>
      <c r="I85" s="233"/>
      <c r="J85" s="470">
        <f ca="1">$J$81</f>
        <v>2.0916000000000001</v>
      </c>
      <c r="K85" s="5"/>
      <c r="L85" s="510"/>
      <c r="M85" s="149" t="s">
        <v>229</v>
      </c>
      <c r="N85" t="s">
        <v>340</v>
      </c>
      <c r="O85" s="5">
        <f ca="1">$C$7*(1-$AM$132)</f>
        <v>217177824.0674915</v>
      </c>
      <c r="P85" s="5">
        <f ca="1">$C$7*(1-$AM$132)</f>
        <v>217177824.0674915</v>
      </c>
      <c r="Q85" s="5">
        <f ca="1">$C$7*(1-$AM$132)</f>
        <v>217177824.0674915</v>
      </c>
      <c r="R85" s="157"/>
      <c r="S85" s="155"/>
      <c r="T85" s="155"/>
      <c r="U85" s="158"/>
      <c r="V85" s="333"/>
      <c r="AD85" s="157"/>
      <c r="AE85" s="155"/>
      <c r="AF85" s="155"/>
      <c r="AG85" s="158"/>
      <c r="AH85" s="333"/>
    </row>
    <row r="86" spans="3:34">
      <c r="C86" s="232" t="s">
        <v>0</v>
      </c>
      <c r="D86" s="58" t="s">
        <v>30</v>
      </c>
      <c r="E86" s="148" t="s">
        <v>31</v>
      </c>
      <c r="F86" s="148" t="s">
        <v>44</v>
      </c>
      <c r="G86" s="12">
        <f ca="1">OFFSET(Tariff_SimCalculation!O88,,$C$4-rpm_start_year)</f>
        <v>0</v>
      </c>
      <c r="H86" s="12">
        <f ca="1">OFFSET(Tariff_SimCalculation!R88,,$C$4-rpm_start_year)</f>
        <v>0</v>
      </c>
      <c r="I86" s="148"/>
      <c r="J86" s="470">
        <f ca="1">$J$81</f>
        <v>2.0916000000000001</v>
      </c>
      <c r="K86" s="5"/>
      <c r="L86" s="510"/>
      <c r="M86" s="149" t="s">
        <v>229</v>
      </c>
      <c r="N86" t="s">
        <v>332</v>
      </c>
      <c r="O86" s="5">
        <f ca="1">SUMPRODUCT(O$53:O$80*($N$53:$N$80&lt;&gt;1),$G$53:$G$80*("Exit"=$D$53:$D$80))+SUMPRODUCT(O$53:O$80*($N$53:$N$80=1)*(($I$53:$I$80*(1+$O$51))&gt;O53:O80),$G$53:$G$80*("Exit"=$D$53:$D$80))</f>
        <v>122171719.57431892</v>
      </c>
      <c r="P86" s="5">
        <f ca="1">SUMPRODUCT(P$53:P$80*($N$53:$N$80&lt;&gt;1),$G$53:$G$80*("Exit"=$D$53:$D$80))+SUMPRODUCT(P$53:P$80*($N$53:$N$80=1)*(($I$53:$I$80*(1+$O$51))&gt;P53:P80),$G$53:$G$80*("Exit"=$D$53:$D$80))</f>
        <v>137796066.45681503</v>
      </c>
      <c r="Q86" s="5">
        <f ca="1">SUMPRODUCT(Q$53:Q$80*($N$53:$N$80&lt;&gt;1),$G$53:$G$80*("Exit"=$D$53:$D$80))+SUMPRODUCT(Q$53:Q$80*($N$53:$N$80=1)*(($I$53:$I$80*(1+$O$51))&gt;Q53:Q80),$G$53:$G$80*("Exit"=$D$53:$D$80))</f>
        <v>137886926.11128759</v>
      </c>
      <c r="R86" s="157"/>
      <c r="S86" s="155"/>
      <c r="T86" s="155"/>
      <c r="U86" s="158"/>
      <c r="V86" s="333"/>
      <c r="AD86" s="157"/>
      <c r="AE86" s="155"/>
      <c r="AF86" s="155"/>
      <c r="AG86" s="158"/>
      <c r="AH86" s="333"/>
    </row>
    <row r="87" spans="3:34">
      <c r="C87" s="232" t="s">
        <v>0</v>
      </c>
      <c r="D87" s="58" t="s">
        <v>30</v>
      </c>
      <c r="E87" s="59" t="s">
        <v>32</v>
      </c>
      <c r="F87" s="148" t="s">
        <v>44</v>
      </c>
      <c r="G87" s="12">
        <f ca="1">OFFSET(Tariff_SimCalculation!O89,,$C$4-rpm_start_year)</f>
        <v>2378663</v>
      </c>
      <c r="H87" s="12">
        <f ca="1">OFFSET(Tariff_SimCalculation!R89,,$C$4-rpm_start_year)</f>
        <v>2378663</v>
      </c>
      <c r="I87" s="148"/>
      <c r="J87" s="470">
        <f ca="1">J82</f>
        <v>1.8824400000000001</v>
      </c>
      <c r="K87" s="5"/>
      <c r="L87" s="510"/>
      <c r="M87" s="149" t="s">
        <v>229</v>
      </c>
      <c r="N87" t="s">
        <v>333</v>
      </c>
      <c r="O87" s="5">
        <f ca="1">SUMPRODUCT(O$53:O$80*($N$53:$N$80=1)*(($I$53:$I$80*(1+$O$51))&lt;=O53:O80),$G$53:$G$80*("Exit"=$D$53:$D$80))</f>
        <v>65463586.60967999</v>
      </c>
      <c r="P87" s="5">
        <f ca="1">SUMPRODUCT(P$53:P$80*($N$53:$N$80=1)*(($I$53:$I$80*(1+$O$51))&lt;=P53:P80),$G$53:$G$80*("Exit"=$D$53:$D$80))</f>
        <v>69087942.166070551</v>
      </c>
      <c r="Q87" s="5">
        <f ca="1">SUMPRODUCT(Q$53:Q$80*($N$53:$N$80=1)*(($I$53:$I$80*(1+$O$51))&lt;=Q53:Q80),$G$53:$G$80*("Exit"=$D$53:$D$80))</f>
        <v>69087942.166070551</v>
      </c>
      <c r="R87" s="157"/>
      <c r="S87" s="155"/>
      <c r="T87" s="155"/>
      <c r="U87" s="158"/>
      <c r="V87" s="333"/>
      <c r="AD87" s="157"/>
      <c r="AE87" s="155"/>
      <c r="AF87" s="155"/>
      <c r="AG87" s="158"/>
      <c r="AH87" s="333"/>
    </row>
    <row r="88" spans="3:34">
      <c r="C88" s="232" t="s">
        <v>0</v>
      </c>
      <c r="D88" s="58" t="s">
        <v>30</v>
      </c>
      <c r="E88" s="148" t="s">
        <v>31</v>
      </c>
      <c r="F88" s="148" t="s">
        <v>45</v>
      </c>
      <c r="G88" s="12">
        <f ca="1">OFFSET(Tariff_SimCalculation!O90,,$C$4-rpm_start_year)</f>
        <v>0</v>
      </c>
      <c r="H88" s="12">
        <f ca="1">OFFSET(Tariff_SimCalculation!R90,,$C$4-rpm_start_year)</f>
        <v>0</v>
      </c>
      <c r="I88" s="148"/>
      <c r="J88" s="470">
        <f t="shared" ref="J88:J94" ca="1" si="30">$J$81</f>
        <v>2.0916000000000001</v>
      </c>
      <c r="K88" s="5"/>
      <c r="L88" s="510"/>
      <c r="M88" s="149" t="s">
        <v>229</v>
      </c>
      <c r="N88" t="s">
        <v>345</v>
      </c>
      <c r="O88" s="5">
        <f ca="1">O85-O87</f>
        <v>151714237.4578115</v>
      </c>
      <c r="P88" s="5">
        <f ca="1">P85-P87</f>
        <v>148089881.90142095</v>
      </c>
      <c r="Q88" s="5">
        <f ca="1">Q85-Q87</f>
        <v>148089881.90142095</v>
      </c>
      <c r="R88" s="157"/>
      <c r="S88" s="155"/>
      <c r="U88" s="500"/>
      <c r="V88" s="500"/>
      <c r="AD88" s="157"/>
      <c r="AE88" s="155"/>
      <c r="AF88" s="155"/>
      <c r="AG88" s="155"/>
      <c r="AH88" s="155"/>
    </row>
    <row r="89" spans="3:34">
      <c r="C89" s="471" t="s">
        <v>0</v>
      </c>
      <c r="D89" s="472" t="s">
        <v>30</v>
      </c>
      <c r="E89" s="473" t="s">
        <v>31</v>
      </c>
      <c r="F89" s="473" t="s">
        <v>46</v>
      </c>
      <c r="G89" s="467">
        <f ca="1">OFFSET(Tariff_SimCalculation!O91,,$C$4-rpm_start_year)</f>
        <v>21422795</v>
      </c>
      <c r="H89" s="467">
        <f ca="1">OFFSET(Tariff_SimCalculation!R91,,$C$4-rpm_start_year)</f>
        <v>21422795</v>
      </c>
      <c r="I89" s="473"/>
      <c r="J89" s="525">
        <f t="shared" ca="1" si="30"/>
        <v>2.0916000000000001</v>
      </c>
      <c r="K89" s="5"/>
      <c r="L89" s="510"/>
      <c r="N89" t="s">
        <v>341</v>
      </c>
      <c r="O89" s="507">
        <f ca="1">O88/O86</f>
        <v>1.2418114272797922</v>
      </c>
      <c r="P89" s="507">
        <f ca="1">P88/P86</f>
        <v>1.0747032604724749</v>
      </c>
      <c r="Q89" s="507">
        <f ca="1">Q88/Q86</f>
        <v>1.073995092050269</v>
      </c>
      <c r="R89" s="157"/>
      <c r="S89" s="155"/>
      <c r="U89" s="500"/>
      <c r="V89" s="500"/>
      <c r="AD89" s="157"/>
      <c r="AE89" s="155"/>
      <c r="AF89" s="155"/>
      <c r="AG89" s="155"/>
      <c r="AH89" s="155"/>
    </row>
    <row r="90" spans="3:34">
      <c r="C90" s="58" t="s">
        <v>13</v>
      </c>
      <c r="D90" s="58" t="s">
        <v>30</v>
      </c>
      <c r="E90" s="148" t="s">
        <v>31</v>
      </c>
      <c r="F90" s="148" t="s">
        <v>47</v>
      </c>
      <c r="G90" s="12">
        <f ca="1">OFFSET(Tariff_SimCalculation!O92,,$C$4-rpm_start_year)</f>
        <v>1111502.9999999988</v>
      </c>
      <c r="H90" s="12">
        <f ca="1">OFFSET(Tariff_SimCalculation!R92,,$C$4-rpm_start_year)</f>
        <v>1111502.9999999988</v>
      </c>
      <c r="I90" s="148"/>
      <c r="J90" s="470">
        <f t="shared" ca="1" si="30"/>
        <v>2.0916000000000001</v>
      </c>
      <c r="K90" s="5"/>
      <c r="L90" s="510"/>
      <c r="M90" s="149"/>
      <c r="N90" t="s">
        <v>331</v>
      </c>
      <c r="O90" s="507">
        <f ca="1">(P92-O87)/(O84+O86)</f>
        <v>1.1586983207794443</v>
      </c>
      <c r="P90" s="507">
        <f ca="1">(Q92-P87)/(P84+P86)</f>
        <v>1.0006593777080062</v>
      </c>
      <c r="Q90" s="507">
        <f ca="1">(R92-Q87)/(Q84+Q86)</f>
        <v>1</v>
      </c>
      <c r="R90" s="157"/>
      <c r="S90" s="155"/>
      <c r="U90" s="500"/>
      <c r="AD90" s="157"/>
      <c r="AE90" s="155"/>
      <c r="AF90" s="155"/>
      <c r="AG90" s="155"/>
      <c r="AH90" s="155"/>
    </row>
    <row r="91" spans="3:34">
      <c r="C91" s="58" t="s">
        <v>13</v>
      </c>
      <c r="D91" s="58" t="s">
        <v>30</v>
      </c>
      <c r="E91" s="148" t="s">
        <v>31</v>
      </c>
      <c r="F91" s="148" t="s">
        <v>48</v>
      </c>
      <c r="G91" s="12">
        <f ca="1">OFFSET(Tariff_SimCalculation!O93,,$C$4-rpm_start_year)</f>
        <v>166730.99999999983</v>
      </c>
      <c r="H91" s="12">
        <f ca="1">OFFSET(Tariff_SimCalculation!R93,,$C$4-rpm_start_year)</f>
        <v>166730.99999999983</v>
      </c>
      <c r="I91" s="148"/>
      <c r="J91" s="470">
        <f t="shared" ca="1" si="30"/>
        <v>2.0916000000000001</v>
      </c>
      <c r="K91" s="5"/>
      <c r="L91" s="510"/>
      <c r="M91" s="149"/>
      <c r="N91" t="s">
        <v>342</v>
      </c>
      <c r="O91" s="5">
        <f ca="1">SUMPRODUCT(O$53:O$80,$G$53:$G$80)</f>
        <v>251618788.11650738</v>
      </c>
      <c r="P91" s="5">
        <f ca="1">SUMPRODUCT(P$53:P$80,$G$53:$G$80)</f>
        <v>281021561.69570512</v>
      </c>
      <c r="Q91" s="5">
        <f ca="1">SUMPRODUCT(Q$53:Q$80,$G$53:$G$80)</f>
        <v>281161306.00000006</v>
      </c>
      <c r="R91" s="5">
        <f ca="1">SUMPRODUCT(R$53:R$80,$G$53:$G$80)</f>
        <v>281161306.00000006</v>
      </c>
      <c r="S91" s="155"/>
      <c r="U91" s="500"/>
      <c r="AD91" s="157"/>
      <c r="AE91" s="155"/>
      <c r="AF91" s="155"/>
      <c r="AG91" s="155"/>
      <c r="AH91" s="155"/>
    </row>
    <row r="92" spans="3:34">
      <c r="C92" s="58" t="s">
        <v>13</v>
      </c>
      <c r="D92" s="58" t="s">
        <v>30</v>
      </c>
      <c r="E92" s="148" t="s">
        <v>31</v>
      </c>
      <c r="F92" s="148" t="s">
        <v>49</v>
      </c>
      <c r="G92" s="12">
        <f ca="1">OFFSET(Tariff_SimCalculation!O94,,$C$4-rpm_start_year)</f>
        <v>221438.99999999977</v>
      </c>
      <c r="H92" s="12">
        <f ca="1">OFFSET(Tariff_SimCalculation!R94,,$C$4-rpm_start_year)</f>
        <v>221438.99999999977</v>
      </c>
      <c r="I92" s="148"/>
      <c r="J92" s="470">
        <f t="shared" ca="1" si="30"/>
        <v>2.0916000000000001</v>
      </c>
      <c r="K92" s="5"/>
      <c r="L92" s="510"/>
      <c r="M92" s="149"/>
      <c r="N92" t="s">
        <v>344</v>
      </c>
      <c r="O92" s="5">
        <f ca="1">$C$7</f>
        <v>281161306</v>
      </c>
      <c r="P92" s="5">
        <f ca="1">$C$7</f>
        <v>281161306</v>
      </c>
      <c r="Q92" s="5">
        <f ca="1">$C$7</f>
        <v>281161306</v>
      </c>
      <c r="R92" s="5">
        <f ca="1">$C$7</f>
        <v>281161306</v>
      </c>
      <c r="S92" s="155"/>
      <c r="AD92" s="157"/>
      <c r="AE92" s="155"/>
      <c r="AF92" s="155"/>
      <c r="AG92" s="155"/>
      <c r="AH92" s="155"/>
    </row>
    <row r="93" spans="3:34">
      <c r="C93" s="58" t="s">
        <v>13</v>
      </c>
      <c r="D93" s="58" t="s">
        <v>30</v>
      </c>
      <c r="E93" s="148" t="s">
        <v>31</v>
      </c>
      <c r="F93" s="148" t="s">
        <v>50</v>
      </c>
      <c r="G93" s="12">
        <f ca="1">OFFSET(Tariff_SimCalculation!O95,,$C$4-rpm_start_year)</f>
        <v>1952542.9999999979</v>
      </c>
      <c r="H93" s="12">
        <f ca="1">OFFSET(Tariff_SimCalculation!R95,,$C$4-rpm_start_year)</f>
        <v>1952542.9999999979</v>
      </c>
      <c r="I93" s="148"/>
      <c r="J93" s="470">
        <f t="shared" ca="1" si="30"/>
        <v>2.0916000000000001</v>
      </c>
      <c r="K93" s="5"/>
      <c r="L93" s="510"/>
      <c r="M93" s="149"/>
      <c r="N93" t="s">
        <v>343</v>
      </c>
      <c r="P93" s="5">
        <f ca="1">P92-P91</f>
        <v>139744.3042948842</v>
      </c>
      <c r="Q93" s="5">
        <f ca="1">Q92-Q91</f>
        <v>0</v>
      </c>
      <c r="R93" s="5">
        <f ca="1">R92-R91</f>
        <v>0</v>
      </c>
      <c r="S93" s="155"/>
      <c r="U93" s="501"/>
      <c r="V93" s="501"/>
      <c r="AD93" s="157"/>
      <c r="AE93" s="155"/>
      <c r="AF93" s="155"/>
      <c r="AG93" s="155"/>
      <c r="AH93" s="155"/>
    </row>
    <row r="94" spans="3:34">
      <c r="C94" s="58" t="s">
        <v>13</v>
      </c>
      <c r="D94" s="58" t="s">
        <v>30</v>
      </c>
      <c r="E94" s="148" t="s">
        <v>31</v>
      </c>
      <c r="F94" s="148" t="s">
        <v>51</v>
      </c>
      <c r="G94" s="12">
        <f ca="1">OFFSET(Tariff_SimCalculation!O96,,$C$4-rpm_start_year)</f>
        <v>110455.99999999988</v>
      </c>
      <c r="H94" s="12">
        <f ca="1">OFFSET(Tariff_SimCalculation!R96,,$C$4-rpm_start_year)</f>
        <v>110455.99999999988</v>
      </c>
      <c r="I94" s="148"/>
      <c r="J94" s="470">
        <f t="shared" ca="1" si="30"/>
        <v>2.0916000000000001</v>
      </c>
      <c r="K94" s="5"/>
      <c r="L94" s="510"/>
      <c r="M94" s="149"/>
      <c r="N94" t="s">
        <v>349</v>
      </c>
      <c r="P94" s="9">
        <f ca="1">O84/P91</f>
        <v>0.22768175347979488</v>
      </c>
      <c r="Q94" s="9">
        <f ca="1">P84/Q91</f>
        <v>0.26368334294484858</v>
      </c>
      <c r="R94" s="9">
        <f ca="1">Q84/R91</f>
        <v>0.26385720986315891</v>
      </c>
      <c r="S94" t="s">
        <v>350</v>
      </c>
      <c r="T94" s="42">
        <f ca="1">SUMPRODUCT(J$53:J$80,$G$53:$G$80*("Entry"=$D$53:$D$80))/SUMPRODUCT(J$53:J$80,$G$53:$G$80)</f>
        <v>0.26385720986315891</v>
      </c>
      <c r="U94" s="155"/>
      <c r="V94" s="155"/>
      <c r="AD94" s="157"/>
      <c r="AE94" s="155"/>
      <c r="AF94" s="155"/>
      <c r="AG94" s="155"/>
      <c r="AH94" s="155"/>
    </row>
    <row r="95" spans="3:34">
      <c r="C95" s="58" t="s">
        <v>13</v>
      </c>
      <c r="D95" s="58" t="s">
        <v>30</v>
      </c>
      <c r="E95" s="148" t="s">
        <v>31</v>
      </c>
      <c r="F95" s="148" t="s">
        <v>52</v>
      </c>
      <c r="G95" s="12">
        <f ca="1">OFFSET(Tariff_SimCalculation!O97,,$C$4-rpm_start_year)</f>
        <v>55222.999999999942</v>
      </c>
      <c r="H95" s="12">
        <f ca="1">OFFSET(Tariff_SimCalculation!R97,,$C$4-rpm_start_year)</f>
        <v>55222.999999999942</v>
      </c>
      <c r="I95" s="148"/>
      <c r="J95" s="470">
        <f ca="1">$J$79</f>
        <v>7.680818605912572</v>
      </c>
      <c r="K95" s="5"/>
      <c r="M95" s="149"/>
      <c r="R95" s="157"/>
      <c r="S95" s="155"/>
      <c r="T95" s="155"/>
      <c r="U95" s="155"/>
      <c r="V95" s="155"/>
      <c r="AD95" s="157"/>
      <c r="AE95" s="155"/>
      <c r="AF95" s="155"/>
      <c r="AG95" s="155"/>
      <c r="AH95" s="155"/>
    </row>
    <row r="96" spans="3:34">
      <c r="C96" s="58" t="s">
        <v>13</v>
      </c>
      <c r="D96" s="58" t="s">
        <v>30</v>
      </c>
      <c r="E96" s="148" t="s">
        <v>31</v>
      </c>
      <c r="F96" s="148" t="s">
        <v>53</v>
      </c>
      <c r="G96" s="12">
        <f ca="1">OFFSET(Tariff_SimCalculation!O98,,$C$4-rpm_start_year)</f>
        <v>22021.999999999978</v>
      </c>
      <c r="H96" s="12">
        <f ca="1">OFFSET(Tariff_SimCalculation!R98,,$C$4-rpm_start_year)</f>
        <v>22021.999999999978</v>
      </c>
      <c r="I96" s="148"/>
      <c r="J96" s="470">
        <f ca="1">$J$79</f>
        <v>7.680818605912572</v>
      </c>
      <c r="K96" s="5"/>
      <c r="M96" s="149"/>
      <c r="O96" s="5"/>
      <c r="R96" s="157"/>
      <c r="S96" s="155"/>
      <c r="T96" s="155"/>
      <c r="U96" s="155"/>
      <c r="V96" s="155"/>
      <c r="AD96" s="157"/>
      <c r="AE96" s="155"/>
      <c r="AF96" s="155"/>
      <c r="AG96" s="155"/>
      <c r="AH96" s="155"/>
    </row>
    <row r="97" spans="1:76">
      <c r="C97" s="58" t="s">
        <v>13</v>
      </c>
      <c r="D97" s="58" t="s">
        <v>30</v>
      </c>
      <c r="E97" s="148" t="s">
        <v>31</v>
      </c>
      <c r="F97" s="148" t="s">
        <v>54</v>
      </c>
      <c r="G97" s="12">
        <f ca="1">OFFSET(Tariff_SimCalculation!O99,,$C$4-rpm_start_year)</f>
        <v>110086.9999999999</v>
      </c>
      <c r="H97" s="12">
        <f ca="1">OFFSET(Tariff_SimCalculation!R99,,$C$4-rpm_start_year)</f>
        <v>110086.9999999999</v>
      </c>
      <c r="I97" s="148"/>
      <c r="J97" s="470">
        <f ca="1">$J$79</f>
        <v>7.680818605912572</v>
      </c>
      <c r="K97" s="5"/>
      <c r="M97" s="149"/>
      <c r="R97" s="157"/>
      <c r="S97" s="155"/>
      <c r="T97" s="155"/>
      <c r="U97" s="155"/>
      <c r="V97" s="155"/>
      <c r="AD97" s="157"/>
      <c r="AE97" s="155"/>
      <c r="AF97" s="155"/>
      <c r="AG97" s="155"/>
      <c r="AH97" s="155"/>
    </row>
    <row r="98" spans="1:76">
      <c r="C98" s="58" t="s">
        <v>13</v>
      </c>
      <c r="D98" s="58" t="s">
        <v>30</v>
      </c>
      <c r="E98" s="148" t="s">
        <v>31</v>
      </c>
      <c r="F98" s="148" t="s">
        <v>55</v>
      </c>
      <c r="G98" s="12">
        <f ca="1">OFFSET(Tariff_SimCalculation!O100,,$C$4-rpm_start_year)</f>
        <v>284538.99999999971</v>
      </c>
      <c r="H98" s="12">
        <f ca="1">OFFSET(Tariff_SimCalculation!R100,,$C$4-rpm_start_year)</f>
        <v>284538.99999999971</v>
      </c>
      <c r="I98" s="148"/>
      <c r="J98" s="470">
        <f ca="1">$J$79</f>
        <v>7.680818605912572</v>
      </c>
      <c r="K98" s="5"/>
      <c r="M98" s="149"/>
      <c r="R98" s="157"/>
      <c r="S98" s="155"/>
      <c r="T98" s="155"/>
      <c r="U98" s="155"/>
      <c r="V98" s="155"/>
      <c r="AD98" s="157"/>
      <c r="AE98" s="155"/>
      <c r="AF98" s="155"/>
      <c r="AG98" s="155"/>
      <c r="AH98" s="155"/>
    </row>
    <row r="99" spans="1:76">
      <c r="N99" s="270"/>
    </row>
    <row r="100" spans="1:76" ht="18.75">
      <c r="A100" s="60" t="s">
        <v>16</v>
      </c>
      <c r="B100" s="60"/>
      <c r="C100" s="60"/>
      <c r="D100" s="60"/>
      <c r="E100" s="60"/>
      <c r="F100" s="60"/>
      <c r="G100" s="60"/>
      <c r="H100" s="61"/>
      <c r="I100" s="61"/>
      <c r="J100" s="60"/>
      <c r="K100" s="60"/>
      <c r="L100" s="60"/>
      <c r="M100" s="60"/>
      <c r="N100" s="60"/>
      <c r="O100" s="60"/>
      <c r="P100" s="60"/>
      <c r="Q100" s="60"/>
      <c r="R100" s="60"/>
      <c r="S100" s="60"/>
      <c r="T100" s="60"/>
      <c r="U100" s="60"/>
      <c r="V100" s="60"/>
      <c r="W100" s="60"/>
      <c r="X100" s="60"/>
      <c r="Y100" s="60"/>
      <c r="Z100" s="60"/>
      <c r="AA100" s="60"/>
      <c r="AB100" s="60"/>
      <c r="AC100" s="60"/>
      <c r="AD100" s="60"/>
      <c r="AE100" s="60"/>
      <c r="AF100" s="60"/>
      <c r="AG100" s="60"/>
      <c r="AH100" s="60"/>
      <c r="AI100" s="60"/>
      <c r="AJ100" s="60"/>
      <c r="AK100" s="60"/>
      <c r="AL100" s="60"/>
      <c r="AM100" s="60"/>
      <c r="AN100" s="60"/>
      <c r="AO100" s="60"/>
      <c r="AP100" s="60"/>
      <c r="AQ100" s="60"/>
      <c r="AR100" s="60"/>
      <c r="AS100" s="60"/>
      <c r="AT100" s="60"/>
      <c r="AU100" s="60"/>
    </row>
    <row r="101" spans="1:76" s="17" customFormat="1" outlineLevel="1">
      <c r="A101"/>
      <c r="B101" s="1"/>
      <c r="C101" s="170"/>
      <c r="D101"/>
      <c r="E101"/>
      <c r="F101" s="5"/>
      <c r="G101"/>
      <c r="H101" s="5"/>
      <c r="I101" s="5"/>
      <c r="J101"/>
      <c r="K101"/>
      <c r="L101"/>
      <c r="M101"/>
      <c r="N101"/>
      <c r="O101"/>
      <c r="P101"/>
      <c r="Q101"/>
      <c r="R101"/>
      <c r="S101"/>
      <c r="T101"/>
      <c r="U101"/>
      <c r="V101"/>
      <c r="W101"/>
      <c r="X101"/>
      <c r="Y101"/>
      <c r="Z101"/>
      <c r="AA101"/>
      <c r="AB101"/>
      <c r="AC101"/>
      <c r="AD101"/>
      <c r="AE101"/>
      <c r="AF101"/>
      <c r="AG101"/>
      <c r="AH101"/>
      <c r="AI101"/>
      <c r="AJ101"/>
      <c r="AK101"/>
      <c r="AL101"/>
      <c r="AM101"/>
      <c r="AN101"/>
      <c r="AO101"/>
      <c r="AP101"/>
      <c r="AQ101"/>
    </row>
    <row r="102" spans="1:76" s="17" customFormat="1" outlineLevel="1">
      <c r="A102"/>
      <c r="B102" s="1" t="s">
        <v>18</v>
      </c>
      <c r="C102" s="170">
        <f ca="1">costs_GCA_capa+costs_TAG_capa</f>
        <v>281161306</v>
      </c>
      <c r="D102" s="147" t="s">
        <v>19</v>
      </c>
      <c r="E102"/>
      <c r="F102" s="5"/>
      <c r="G102"/>
      <c r="H102" s="5"/>
      <c r="I102" s="12"/>
      <c r="J102"/>
      <c r="K102"/>
      <c r="L102"/>
      <c r="M102" s="1"/>
      <c r="N102" s="169"/>
      <c r="O102"/>
      <c r="P102"/>
      <c r="Q102"/>
      <c r="R102"/>
      <c r="S102"/>
      <c r="T102"/>
      <c r="U102"/>
      <c r="V102"/>
      <c r="W102"/>
      <c r="X102"/>
      <c r="Y102"/>
      <c r="Z102"/>
      <c r="AA102"/>
      <c r="AB102"/>
      <c r="AC102"/>
      <c r="AD102" s="8"/>
      <c r="AE102"/>
      <c r="AF102"/>
      <c r="AG102"/>
      <c r="AH102"/>
      <c r="AI102"/>
      <c r="AJ102"/>
      <c r="AK102"/>
      <c r="AL102"/>
      <c r="AM102"/>
      <c r="AN102"/>
      <c r="AO102"/>
      <c r="AP102"/>
      <c r="AQ102"/>
    </row>
    <row r="103" spans="1:76" s="17" customFormat="1" ht="15.75" outlineLevel="1" thickBot="1">
      <c r="A103"/>
      <c r="B103" s="171" t="s">
        <v>133</v>
      </c>
      <c r="C103" s="172">
        <f ca="1">C8</f>
        <v>0.25</v>
      </c>
      <c r="F103" s="12"/>
      <c r="G103"/>
      <c r="H103"/>
      <c r="I103"/>
      <c r="J103"/>
      <c r="K103"/>
      <c r="L103"/>
      <c r="M103"/>
      <c r="N103"/>
      <c r="O103"/>
      <c r="P103"/>
      <c r="Q103"/>
      <c r="R103"/>
      <c r="S103"/>
      <c r="T103"/>
      <c r="U103"/>
      <c r="V103"/>
      <c r="W103"/>
      <c r="X103"/>
      <c r="Y103"/>
      <c r="Z103"/>
      <c r="AA103"/>
      <c r="AB103" s="7"/>
      <c r="AC103"/>
      <c r="AD103"/>
      <c r="AE103"/>
      <c r="AF103"/>
      <c r="AG103"/>
      <c r="AH103"/>
      <c r="AI103"/>
      <c r="AJ103"/>
      <c r="AK103"/>
      <c r="AL103"/>
      <c r="AM103"/>
      <c r="AN103"/>
      <c r="AO103"/>
      <c r="AP103"/>
      <c r="AQ103"/>
    </row>
    <row r="104" spans="1:76" s="17" customFormat="1" outlineLevel="1">
      <c r="A104"/>
      <c r="B104" s="171" t="s">
        <v>134</v>
      </c>
      <c r="C104" s="174">
        <f ca="1">C103*C102</f>
        <v>70290326.5</v>
      </c>
      <c r="D104" s="147" t="s">
        <v>19</v>
      </c>
      <c r="E104"/>
      <c r="F104"/>
      <c r="G104" s="186"/>
      <c r="H104" s="186"/>
      <c r="I104" s="186"/>
      <c r="J104" s="186"/>
      <c r="K104" s="186"/>
      <c r="L104" s="186"/>
      <c r="M104" s="186"/>
      <c r="N104" s="186"/>
      <c r="O104" s="186"/>
      <c r="P104" s="186"/>
      <c r="Q104" s="186"/>
      <c r="R104" s="186"/>
      <c r="S104" s="186"/>
      <c r="T104" s="186"/>
      <c r="U104"/>
      <c r="V104"/>
      <c r="W104"/>
      <c r="X104"/>
      <c r="Y104"/>
      <c r="Z104"/>
      <c r="AA104"/>
      <c r="AB104" s="14"/>
      <c r="AC104"/>
      <c r="AD104"/>
      <c r="AE104"/>
      <c r="AF104">
        <v>25785675.652113322</v>
      </c>
      <c r="AG104" s="451">
        <v>22658853.185462326</v>
      </c>
      <c r="AH104">
        <f>AG104/AF104</f>
        <v>0.87873800520737055</v>
      </c>
      <c r="AI104"/>
      <c r="AJ104"/>
      <c r="AK104"/>
      <c r="AL104"/>
      <c r="AM104"/>
      <c r="AN104"/>
      <c r="AO104"/>
      <c r="AP104"/>
      <c r="AQ104"/>
    </row>
    <row r="105" spans="1:76" s="17" customFormat="1" outlineLevel="1">
      <c r="A105"/>
      <c r="B105" s="171" t="s">
        <v>135</v>
      </c>
      <c r="C105" s="174">
        <f ca="1">C102*(1-C103)</f>
        <v>210870979.5</v>
      </c>
      <c r="D105" s="147" t="s">
        <v>19</v>
      </c>
      <c r="E105"/>
      <c r="F105"/>
      <c r="G105" s="186"/>
      <c r="H105" s="186"/>
      <c r="I105" s="186"/>
      <c r="J105" s="186"/>
      <c r="K105" s="186"/>
      <c r="L105" s="186"/>
      <c r="M105" s="186"/>
      <c r="N105" s="186"/>
      <c r="O105" s="186"/>
      <c r="P105" s="186"/>
      <c r="Q105" s="186"/>
      <c r="R105" s="186"/>
      <c r="S105" s="186"/>
      <c r="T105" s="186"/>
      <c r="U105"/>
      <c r="V105"/>
      <c r="W105"/>
      <c r="X105"/>
      <c r="Y105"/>
      <c r="Z105"/>
      <c r="AA105"/>
      <c r="AB105" s="14"/>
      <c r="AC105"/>
      <c r="AD105"/>
      <c r="AE105"/>
      <c r="AF105">
        <v>114.86639915761913</v>
      </c>
      <c r="AG105">
        <v>113.21249037514652</v>
      </c>
      <c r="AH105">
        <f>AG105/AF105</f>
        <v>0.98560145704399482</v>
      </c>
      <c r="AI105"/>
      <c r="AJ105"/>
      <c r="AK105"/>
      <c r="AL105"/>
      <c r="AM105"/>
      <c r="AN105"/>
      <c r="AO105"/>
      <c r="AP105"/>
      <c r="AQ105"/>
    </row>
    <row r="106" spans="1:76" s="17" customFormat="1" outlineLevel="1">
      <c r="A106" s="2"/>
      <c r="C106"/>
      <c r="D106"/>
      <c r="F106"/>
      <c r="G106" s="186"/>
      <c r="H106" s="186"/>
      <c r="I106" s="186"/>
      <c r="J106" s="186"/>
      <c r="K106" s="186"/>
      <c r="L106" s="186"/>
      <c r="M106" s="186"/>
      <c r="N106" s="186"/>
      <c r="O106" s="186"/>
      <c r="P106" s="186"/>
      <c r="Q106" s="186"/>
      <c r="R106" s="186"/>
      <c r="S106" s="186"/>
      <c r="T106" s="186"/>
      <c r="U106"/>
      <c r="V106"/>
      <c r="W106"/>
      <c r="X106"/>
      <c r="Y106"/>
      <c r="Z106"/>
      <c r="AA106"/>
      <c r="AB106" s="14"/>
      <c r="AC106"/>
      <c r="AD106" s="229"/>
      <c r="AE106" s="229"/>
      <c r="AF106"/>
      <c r="AG106"/>
      <c r="AH106"/>
      <c r="AI106"/>
      <c r="AJ106"/>
      <c r="AK106"/>
      <c r="AL106"/>
      <c r="AM106"/>
      <c r="AN106"/>
      <c r="AO106"/>
      <c r="AP106"/>
      <c r="AQ106"/>
    </row>
    <row r="107" spans="1:76" s="17" customFormat="1" outlineLevel="1">
      <c r="A107" s="10"/>
      <c r="B107" s="186" t="s">
        <v>141</v>
      </c>
      <c r="C107"/>
      <c r="D107" s="187"/>
      <c r="E107" s="183" t="s">
        <v>30</v>
      </c>
      <c r="F107" s="183" t="s">
        <v>30</v>
      </c>
      <c r="G107" s="183" t="s">
        <v>30</v>
      </c>
      <c r="H107" s="183" t="s">
        <v>30</v>
      </c>
      <c r="I107" s="183" t="s">
        <v>30</v>
      </c>
      <c r="J107" s="183" t="s">
        <v>30</v>
      </c>
      <c r="K107" s="183" t="s">
        <v>30</v>
      </c>
      <c r="L107" s="183" t="s">
        <v>30</v>
      </c>
      <c r="M107" s="183" t="s">
        <v>30</v>
      </c>
      <c r="N107" s="183" t="s">
        <v>30</v>
      </c>
      <c r="O107" s="183" t="s">
        <v>30</v>
      </c>
      <c r="P107" s="183" t="s">
        <v>30</v>
      </c>
      <c r="Q107" s="183" t="s">
        <v>30</v>
      </c>
      <c r="R107" s="183" t="s">
        <v>30</v>
      </c>
      <c r="S107" s="183" t="s">
        <v>30</v>
      </c>
      <c r="T107" s="183" t="s">
        <v>30</v>
      </c>
      <c r="U107" s="183" t="s">
        <v>30</v>
      </c>
      <c r="V107" s="183" t="s">
        <v>30</v>
      </c>
      <c r="W107" s="183" t="s">
        <v>30</v>
      </c>
      <c r="X107" s="183" t="s">
        <v>30</v>
      </c>
      <c r="Y107" s="183" t="s">
        <v>30</v>
      </c>
      <c r="Z107" s="183" t="s">
        <v>30</v>
      </c>
      <c r="AA107" s="183" t="s">
        <v>30</v>
      </c>
      <c r="AB107" s="183" t="s">
        <v>30</v>
      </c>
      <c r="AC107" s="183" t="s">
        <v>30</v>
      </c>
      <c r="AD107" s="229" t="s">
        <v>31</v>
      </c>
      <c r="AE107" s="229" t="s">
        <v>32</v>
      </c>
      <c r="AF107"/>
      <c r="AG107"/>
      <c r="AH107" s="229" t="s">
        <v>31</v>
      </c>
      <c r="AI107" s="229" t="s">
        <v>32</v>
      </c>
      <c r="AJ107"/>
      <c r="AK107"/>
      <c r="AL107"/>
      <c r="AM107"/>
      <c r="AN107"/>
      <c r="AO107"/>
      <c r="AP107"/>
      <c r="AQ107"/>
    </row>
    <row r="108" spans="1:76" s="17" customFormat="1" ht="92.25" outlineLevel="1" thickBot="1">
      <c r="A108"/>
      <c r="C108"/>
      <c r="D108" s="187"/>
      <c r="E108" s="204" t="s">
        <v>22</v>
      </c>
      <c r="F108" s="204" t="s">
        <v>23</v>
      </c>
      <c r="G108" s="204" t="s">
        <v>24</v>
      </c>
      <c r="H108" s="204" t="s">
        <v>39</v>
      </c>
      <c r="I108" s="204" t="s">
        <v>34</v>
      </c>
      <c r="J108" s="204" t="s">
        <v>33</v>
      </c>
      <c r="K108" s="204" t="s">
        <v>20</v>
      </c>
      <c r="L108" s="204" t="s">
        <v>56</v>
      </c>
      <c r="M108" s="204" t="s">
        <v>25</v>
      </c>
      <c r="N108" s="204" t="s">
        <v>40</v>
      </c>
      <c r="O108" s="204" t="s">
        <v>41</v>
      </c>
      <c r="P108" s="204" t="s">
        <v>42</v>
      </c>
      <c r="Q108" s="204" t="s">
        <v>43</v>
      </c>
      <c r="R108" s="204" t="s">
        <v>44</v>
      </c>
      <c r="S108" s="204" t="s">
        <v>45</v>
      </c>
      <c r="T108" s="204" t="s">
        <v>46</v>
      </c>
      <c r="U108" s="204" t="s">
        <v>47</v>
      </c>
      <c r="V108" s="204" t="s">
        <v>48</v>
      </c>
      <c r="W108" s="204" t="s">
        <v>49</v>
      </c>
      <c r="X108" s="204" t="s">
        <v>50</v>
      </c>
      <c r="Y108" s="204" t="s">
        <v>51</v>
      </c>
      <c r="Z108" s="204" t="s">
        <v>52</v>
      </c>
      <c r="AA108" s="204" t="s">
        <v>53</v>
      </c>
      <c r="AB108" s="204" t="s">
        <v>54</v>
      </c>
      <c r="AC108" s="204" t="s">
        <v>55</v>
      </c>
      <c r="AD108" s="185" t="s">
        <v>170</v>
      </c>
      <c r="AE108" s="185" t="s">
        <v>170</v>
      </c>
      <c r="AF108" s="229" t="s">
        <v>319</v>
      </c>
      <c r="AG108" s="229" t="s">
        <v>137</v>
      </c>
      <c r="AH108" s="237" t="s">
        <v>139</v>
      </c>
      <c r="AI108" s="10" t="s">
        <v>140</v>
      </c>
      <c r="AJ108"/>
      <c r="AK108" s="229" t="s">
        <v>201</v>
      </c>
      <c r="AL108" s="229" t="s">
        <v>202</v>
      </c>
      <c r="AM108" s="229" t="s">
        <v>154</v>
      </c>
      <c r="AO108" s="247" t="s">
        <v>150</v>
      </c>
      <c r="AP108" s="247" t="s">
        <v>151</v>
      </c>
      <c r="AQ108" s="248"/>
      <c r="AR108" s="229" t="s">
        <v>157</v>
      </c>
      <c r="AS108" s="247" t="s">
        <v>171</v>
      </c>
      <c r="AT108" s="247" t="s">
        <v>172</v>
      </c>
      <c r="AY108" s="181" t="s">
        <v>136</v>
      </c>
      <c r="AZ108" s="182" t="s">
        <v>22</v>
      </c>
      <c r="BA108" s="182" t="s">
        <v>23</v>
      </c>
      <c r="BB108" s="182" t="s">
        <v>24</v>
      </c>
      <c r="BC108" s="182" t="s">
        <v>39</v>
      </c>
      <c r="BD108" s="182" t="s">
        <v>34</v>
      </c>
      <c r="BE108" s="182" t="s">
        <v>33</v>
      </c>
      <c r="BF108" s="182" t="s">
        <v>20</v>
      </c>
      <c r="BG108" s="182" t="s">
        <v>56</v>
      </c>
      <c r="BH108" s="182" t="s">
        <v>25</v>
      </c>
      <c r="BI108" s="182" t="s">
        <v>40</v>
      </c>
      <c r="BJ108" s="182" t="s">
        <v>41</v>
      </c>
      <c r="BK108" s="182" t="s">
        <v>42</v>
      </c>
      <c r="BL108" s="182" t="s">
        <v>43</v>
      </c>
      <c r="BM108" s="182" t="s">
        <v>44</v>
      </c>
      <c r="BN108" s="182" t="s">
        <v>45</v>
      </c>
      <c r="BO108" s="182" t="s">
        <v>46</v>
      </c>
      <c r="BP108" s="182" t="s">
        <v>47</v>
      </c>
      <c r="BQ108" s="182" t="s">
        <v>48</v>
      </c>
      <c r="BR108" s="182" t="s">
        <v>49</v>
      </c>
      <c r="BS108" s="182" t="s">
        <v>50</v>
      </c>
      <c r="BT108" s="182" t="s">
        <v>51</v>
      </c>
      <c r="BU108" s="182" t="s">
        <v>52</v>
      </c>
      <c r="BV108" s="182" t="s">
        <v>53</v>
      </c>
      <c r="BW108" s="182" t="s">
        <v>54</v>
      </c>
      <c r="BX108" s="182" t="s">
        <v>55</v>
      </c>
    </row>
    <row r="109" spans="1:76" s="17" customFormat="1" outlineLevel="1">
      <c r="A109"/>
      <c r="B109" s="1" t="s">
        <v>21</v>
      </c>
      <c r="C109"/>
      <c r="D109" s="188" t="s">
        <v>22</v>
      </c>
      <c r="E109" s="190">
        <v>0</v>
      </c>
      <c r="F109" s="191">
        <v>245</v>
      </c>
      <c r="G109" s="191">
        <v>340</v>
      </c>
      <c r="H109" s="191">
        <v>49</v>
      </c>
      <c r="I109" s="191">
        <v>39</v>
      </c>
      <c r="J109" s="191">
        <v>241</v>
      </c>
      <c r="K109" s="191">
        <v>384.59447</v>
      </c>
      <c r="L109" s="191">
        <v>337</v>
      </c>
      <c r="M109" s="191">
        <v>5</v>
      </c>
      <c r="N109" s="191">
        <v>27</v>
      </c>
      <c r="O109" s="191">
        <v>81</v>
      </c>
      <c r="P109" s="191">
        <v>136</v>
      </c>
      <c r="Q109" s="191">
        <v>188</v>
      </c>
      <c r="R109" s="191">
        <v>205</v>
      </c>
      <c r="S109" s="191">
        <v>225</v>
      </c>
      <c r="T109" s="191">
        <v>3.05</v>
      </c>
      <c r="U109" s="191">
        <v>74.84778</v>
      </c>
      <c r="V109" s="191">
        <v>140.48994999999999</v>
      </c>
      <c r="W109" s="191">
        <v>183.23273</v>
      </c>
      <c r="X109" s="191">
        <v>213.69001</v>
      </c>
      <c r="Y109" s="191">
        <v>234.34958</v>
      </c>
      <c r="Z109" s="191">
        <v>271.73602</v>
      </c>
      <c r="AA109" s="191">
        <v>303.39652000000001</v>
      </c>
      <c r="AB109" s="191">
        <v>323.51218999999998</v>
      </c>
      <c r="AC109" s="192">
        <v>364.42469</v>
      </c>
      <c r="AD109" s="451">
        <f ca="1">SUMIFS($G$53:$G$98,$F$53:$F$98,$D109,$D$53:$D$98,$B109,$E$53:$E$98,AD$107)</f>
        <v>11606664</v>
      </c>
      <c r="AE109" s="272">
        <f>SUMIFS($G$53:$G$98,$F$53:$F$98,$D109,$D$53:$D$98,$B109,$E$53:$E$98,AE$107)</f>
        <v>0</v>
      </c>
      <c r="AF109" s="180" cm="1">
        <f t="array" aca="1" ref="AF109" ca="1">(SUMPRODUCT(E109:AC109,$E$119:$AC$119)+SUMPRODUCT(E109:AC109,$E$120:$AC$120,AZ109:BX109))/(SUMPRODUCT($E$119:$AC$119*(E109:AC109&lt;&gt;0))+SUMPRODUCT($E$120:$AC$120*AZ109:BX109*(E109:AC109&lt;&gt;0)))</f>
        <v>93.183792671463024</v>
      </c>
      <c r="AG109" s="228">
        <f ca="1">AF109*(AD109+AE109)/(SUMPRODUCT($AF$109:$AF$118,$AD$109:$AD$118)+SUMPRODUCT($AF$109:$AF$118,$AE$109:$AE$118))</f>
        <v>0.14401269529139527</v>
      </c>
      <c r="AH109" s="236">
        <f t="shared" ref="AH109" ca="1" si="31">IFERROR(AG109*$C$104/(AD109+AE109*(1-discount_DZK)),0)</f>
        <v>0.87214546506879032</v>
      </c>
      <c r="AI109" s="235">
        <v>0</v>
      </c>
      <c r="AJ109" s="231">
        <f ca="1">AD109*AH109+AE109*AI109</f>
        <v>10122699.372177185</v>
      </c>
      <c r="AK109" s="244">
        <f ca="1">IF(Tariff_SimCalculation!X8,SUMIFS($AJ$109:$AJ$115,Tariff_SimCalculation!$X$8:$X$14,1)/(SUMIFS($AD$109:$AD$115,Tariff_SimCalculation!$X$8:$X$14,1)+SUMIFS($AE$109:$AE$115,Tariff_SimCalculation!$X$8:$X$14,1)*(1-discount_DZK)),"")</f>
        <v>2.213827549689642</v>
      </c>
      <c r="AL109" s="235"/>
      <c r="AM109"/>
      <c r="AO109" s="235">
        <f ca="1">IF(AK109&lt;&gt;"",AK109,AH109)</f>
        <v>2.213827549689642</v>
      </c>
      <c r="AP109" s="235">
        <f t="shared" ref="AP109" si="32">IF($AE109&gt;0,(1-discount_DZK)*AO109,0)</f>
        <v>0</v>
      </c>
      <c r="AQ109"/>
      <c r="AR109" s="3">
        <v>1</v>
      </c>
      <c r="AS109" s="468">
        <f t="shared" ref="AS109:AT118" ca="1" si="33">IF($AR109=1,$AK$136,1)*AO109</f>
        <v>2.3921715631192404</v>
      </c>
      <c r="AT109" s="235">
        <f t="shared" ca="1" si="33"/>
        <v>0</v>
      </c>
      <c r="AY109" s="177" t="s">
        <v>22</v>
      </c>
      <c r="AZ109" s="207"/>
      <c r="BA109" s="208"/>
      <c r="BB109" s="208"/>
      <c r="BC109" s="208"/>
      <c r="BD109" s="208"/>
      <c r="BE109" s="208"/>
      <c r="BF109" s="208"/>
      <c r="BG109" s="208"/>
      <c r="BH109" s="209"/>
      <c r="BI109" s="210">
        <v>1</v>
      </c>
      <c r="BJ109" s="208"/>
      <c r="BK109" s="208"/>
      <c r="BL109" s="208"/>
      <c r="BM109" s="208"/>
      <c r="BN109" s="208"/>
      <c r="BO109" s="211"/>
      <c r="BP109" s="207"/>
      <c r="BQ109" s="208"/>
      <c r="BR109" s="208"/>
      <c r="BS109" s="208"/>
      <c r="BT109" s="208"/>
      <c r="BU109" s="208"/>
      <c r="BV109" s="208"/>
      <c r="BW109" s="208"/>
      <c r="BX109" s="209"/>
    </row>
    <row r="110" spans="1:76" s="17" customFormat="1" outlineLevel="1">
      <c r="A110"/>
      <c r="B110" s="1" t="s">
        <v>21</v>
      </c>
      <c r="C110"/>
      <c r="D110" s="188" t="s">
        <v>23</v>
      </c>
      <c r="E110" s="193">
        <v>245</v>
      </c>
      <c r="F110" s="189">
        <v>0</v>
      </c>
      <c r="G110" s="189">
        <v>95</v>
      </c>
      <c r="H110" s="189">
        <v>288</v>
      </c>
      <c r="I110" s="189">
        <v>278</v>
      </c>
      <c r="J110" s="189">
        <v>480</v>
      </c>
      <c r="K110" s="189">
        <v>623.59447</v>
      </c>
      <c r="L110" s="189">
        <v>92</v>
      </c>
      <c r="M110" s="189">
        <v>244</v>
      </c>
      <c r="N110" s="189">
        <v>218</v>
      </c>
      <c r="O110" s="189">
        <v>164</v>
      </c>
      <c r="P110" s="189">
        <v>109</v>
      </c>
      <c r="Q110" s="189">
        <v>57</v>
      </c>
      <c r="R110" s="189">
        <v>40</v>
      </c>
      <c r="S110" s="189">
        <v>20</v>
      </c>
      <c r="T110" s="189">
        <v>241.95</v>
      </c>
      <c r="U110" s="189">
        <v>313.84778</v>
      </c>
      <c r="V110" s="189">
        <v>379.48995000000002</v>
      </c>
      <c r="W110" s="189">
        <v>422.23273</v>
      </c>
      <c r="X110" s="189">
        <v>452.69001000000003</v>
      </c>
      <c r="Y110" s="189">
        <v>473.34958</v>
      </c>
      <c r="Z110" s="189">
        <v>510.73602</v>
      </c>
      <c r="AA110" s="189">
        <v>542.39652000000001</v>
      </c>
      <c r="AB110" s="189">
        <v>562.51218999999992</v>
      </c>
      <c r="AC110" s="194">
        <v>603.42469000000006</v>
      </c>
      <c r="AD110" s="452">
        <f t="shared" ref="AD110:AE118" ca="1" si="34">SUMIFS($G$53:$G$98,$F$53:$F$98,$D110,$D$53:$D$98,$B110,$E$53:$E$98,AD$107)</f>
        <v>7618999</v>
      </c>
      <c r="AE110" s="273">
        <f t="shared" si="34"/>
        <v>0</v>
      </c>
      <c r="AF110" s="180" cm="1">
        <f t="array" aca="1" ref="AF110" ca="1">(SUMPRODUCT(E110:AC110,$E$119:$AC$119)+SUMPRODUCT(E110:AC110,$E$120:$AC$120,AZ110:BX110))/(SUMPRODUCT($E$119:$AC$119*(E110:AC110&lt;&gt;0))+SUMPRODUCT($E$120:$AC$120*AZ110:BX110*(E110:AC110&lt;&gt;0)))</f>
        <v>306.79948816784452</v>
      </c>
      <c r="AG110" s="228">
        <f ca="1">AF110*(AD110+AE110)/(SUMPRODUCT($AF$109:$AF$118,$AD$109:$AD$118)+SUMPRODUCT($AF$109:$AF$118,$AE$109:$AE$118))</f>
        <v>0.31124725571542117</v>
      </c>
      <c r="AH110" s="236">
        <f ca="1">IFERROR(AG110*$C$104/(AD110+AE110*(1-discount_DZK)),0)</f>
        <v>2.8714626719948306</v>
      </c>
      <c r="AI110" s="235">
        <v>0</v>
      </c>
      <c r="AJ110" s="231">
        <f ca="1">AD110*AH110+AE110*AI110</f>
        <v>21877671.226465944</v>
      </c>
      <c r="AK110" s="244">
        <f ca="1">IF(Tariff_SimCalculation!X9,SUMIFS($AJ$109:$AJ$115,Tariff_SimCalculation!$X$8:$X$14,1)/(SUMIFS($AD$109:$AD$115,Tariff_SimCalculation!$X$8:$X$14,1)+SUMIFS($AE$109:$AE$115,Tariff_SimCalculation!$X$8:$X$14,1)*(1-discount_DZK)),"")</f>
        <v>2.213827549689642</v>
      </c>
      <c r="AL110" s="235"/>
      <c r="AM110"/>
      <c r="AO110" s="235">
        <f t="shared" ref="AO110:AO115" ca="1" si="35">IF(AK110&lt;&gt;"",AK110,AH110)</f>
        <v>2.213827549689642</v>
      </c>
      <c r="AP110" s="235">
        <f t="shared" ref="AP110" si="36">IF($AE110&gt;0,(1-discount_DZK)*AO110,0)</f>
        <v>0</v>
      </c>
      <c r="AQ110"/>
      <c r="AR110" s="3">
        <v>1</v>
      </c>
      <c r="AS110" s="468">
        <f t="shared" ca="1" si="33"/>
        <v>2.3921715631192404</v>
      </c>
      <c r="AT110" s="235">
        <f t="shared" ca="1" si="33"/>
        <v>0</v>
      </c>
      <c r="AY110" s="178" t="s">
        <v>23</v>
      </c>
      <c r="AZ110" s="212"/>
      <c r="BA110" s="213"/>
      <c r="BB110" s="213">
        <v>1</v>
      </c>
      <c r="BC110" s="213"/>
      <c r="BD110" s="213"/>
      <c r="BE110" s="213"/>
      <c r="BF110" s="213"/>
      <c r="BG110" s="213"/>
      <c r="BH110" s="214"/>
      <c r="BI110" s="215"/>
      <c r="BJ110" s="213"/>
      <c r="BK110" s="213"/>
      <c r="BL110" s="213"/>
      <c r="BM110" s="213">
        <v>1</v>
      </c>
      <c r="BN110" s="213"/>
      <c r="BO110" s="216"/>
      <c r="BP110" s="212"/>
      <c r="BQ110" s="213"/>
      <c r="BR110" s="213"/>
      <c r="BS110" s="213"/>
      <c r="BT110" s="213"/>
      <c r="BU110" s="213"/>
      <c r="BV110" s="213"/>
      <c r="BW110" s="213"/>
      <c r="BX110" s="214"/>
    </row>
    <row r="111" spans="1:76" s="17" customFormat="1" outlineLevel="1">
      <c r="A111"/>
      <c r="B111" s="1" t="s">
        <v>21</v>
      </c>
      <c r="C111"/>
      <c r="D111" s="188" t="s">
        <v>24</v>
      </c>
      <c r="E111" s="193">
        <v>340</v>
      </c>
      <c r="F111" s="189">
        <v>95</v>
      </c>
      <c r="G111" s="189">
        <v>0</v>
      </c>
      <c r="H111" s="189">
        <v>383</v>
      </c>
      <c r="I111" s="189">
        <v>373</v>
      </c>
      <c r="J111" s="189">
        <v>575</v>
      </c>
      <c r="K111" s="189">
        <v>718.59447</v>
      </c>
      <c r="L111" s="189">
        <v>3</v>
      </c>
      <c r="M111" s="189">
        <v>339</v>
      </c>
      <c r="N111" s="189">
        <v>313</v>
      </c>
      <c r="O111" s="189">
        <v>259</v>
      </c>
      <c r="P111" s="189">
        <v>204</v>
      </c>
      <c r="Q111" s="189">
        <v>152</v>
      </c>
      <c r="R111" s="189">
        <v>135</v>
      </c>
      <c r="S111" s="189">
        <v>115</v>
      </c>
      <c r="T111" s="189">
        <v>336.95</v>
      </c>
      <c r="U111" s="189">
        <v>408.84778</v>
      </c>
      <c r="V111" s="189">
        <v>474.48995000000002</v>
      </c>
      <c r="W111" s="189">
        <v>517.23272999999995</v>
      </c>
      <c r="X111" s="189">
        <v>547.69001000000003</v>
      </c>
      <c r="Y111" s="189">
        <v>568.34958000000006</v>
      </c>
      <c r="Z111" s="189">
        <v>605.73602000000005</v>
      </c>
      <c r="AA111" s="189">
        <v>637.39652000000001</v>
      </c>
      <c r="AB111" s="189">
        <v>657.51218999999992</v>
      </c>
      <c r="AC111" s="194">
        <v>698.42469000000006</v>
      </c>
      <c r="AD111" s="452">
        <f t="shared" ca="1" si="34"/>
        <v>818029</v>
      </c>
      <c r="AE111" s="273">
        <f t="shared" ca="1" si="34"/>
        <v>0</v>
      </c>
      <c r="AF111" s="180" cm="1">
        <f t="array" aca="1" ref="AF111" ca="1">(SUMPRODUCT(E111:AC111,$E$119:$AC$119)+SUMPRODUCT(E111:AC111,$E$120:$AC$120,AZ111:BX111))/(SUMPRODUCT($E$119:$AC$119*(E111:AC111&lt;&gt;0))+SUMPRODUCT($E$120:$AC$120*AZ111:BX111*(E111:AC111&lt;&gt;0)))</f>
        <v>396.10625975252731</v>
      </c>
      <c r="AG111" s="228">
        <f t="shared" ref="AG111:AG118" ca="1" si="37">AF111*(AD111+AE111)/(SUMPRODUCT($AF$109:$AF$118,$AD$109:$AD$118)+SUMPRODUCT($AF$109:$AF$118,$AE$109:$AE$118))</f>
        <v>4.3145289704332922E-2</v>
      </c>
      <c r="AH111" s="236">
        <f t="shared" ref="AH111" ca="1" si="38">IFERROR(AG111*$C$104/(AD111+AE111*(1-discount_DZK)),0)</f>
        <v>3.7073215011382845</v>
      </c>
      <c r="AI111" s="235">
        <f ca="1">(1-discount_DZK)*AH111</f>
        <v>3.3365893510244562</v>
      </c>
      <c r="AJ111" s="231">
        <f ca="1">AD111*AH111+AE111*AI111</f>
        <v>3032696.5002546497</v>
      </c>
      <c r="AK111" s="244">
        <f ca="1">IF(Tariff_SimCalculation!X10,SUMIFS($AJ$109:$AJ$115,Tariff_SimCalculation!$X$8:$X$14,1)/(SUMIFS($AD$109:$AD$115,Tariff_SimCalculation!$X$8:$X$14,1)+SUMIFS($AE$109:$AE$115,Tariff_SimCalculation!$X$8:$X$14,1)*(1-discount_DZK)),"")</f>
        <v>2.213827549689642</v>
      </c>
      <c r="AL111" s="235">
        <f ca="1">(1-discount_DZK)*AK111</f>
        <v>1.9924447947206778</v>
      </c>
      <c r="AM111"/>
      <c r="AO111" s="235">
        <f t="shared" ca="1" si="35"/>
        <v>2.213827549689642</v>
      </c>
      <c r="AP111" s="235">
        <f ca="1">(1-discount_DZK)*AO111</f>
        <v>1.9924447947206778</v>
      </c>
      <c r="AQ111"/>
      <c r="AR111" s="3">
        <v>1</v>
      </c>
      <c r="AS111" s="468">
        <f t="shared" ca="1" si="33"/>
        <v>2.3921715631192404</v>
      </c>
      <c r="AT111" s="468">
        <f ca="1">IF($AR111=1,$AK$136,1)*AP111</f>
        <v>2.1529544068073165</v>
      </c>
      <c r="AY111" s="178" t="s">
        <v>24</v>
      </c>
      <c r="AZ111" s="212"/>
      <c r="BA111" s="213">
        <v>1</v>
      </c>
      <c r="BB111" s="213"/>
      <c r="BC111" s="213"/>
      <c r="BD111" s="213"/>
      <c r="BE111" s="213"/>
      <c r="BF111" s="213"/>
      <c r="BG111" s="213"/>
      <c r="BH111" s="214"/>
      <c r="BI111" s="215"/>
      <c r="BJ111" s="213"/>
      <c r="BK111" s="213"/>
      <c r="BL111" s="213"/>
      <c r="BM111" s="213"/>
      <c r="BN111" s="213"/>
      <c r="BO111" s="216"/>
      <c r="BP111" s="212"/>
      <c r="BQ111" s="213"/>
      <c r="BR111" s="213"/>
      <c r="BS111" s="213"/>
      <c r="BT111" s="213"/>
      <c r="BU111" s="213"/>
      <c r="BV111" s="213"/>
      <c r="BW111" s="213"/>
      <c r="BX111" s="214"/>
    </row>
    <row r="112" spans="1:76" s="17" customFormat="1" outlineLevel="1">
      <c r="A112"/>
      <c r="B112" s="1" t="s">
        <v>21</v>
      </c>
      <c r="C112"/>
      <c r="D112" s="188" t="s">
        <v>39</v>
      </c>
      <c r="E112" s="193">
        <v>49</v>
      </c>
      <c r="F112" s="189">
        <v>288</v>
      </c>
      <c r="G112" s="189">
        <v>383</v>
      </c>
      <c r="H112" s="189">
        <v>0</v>
      </c>
      <c r="I112" s="189">
        <v>10</v>
      </c>
      <c r="J112" s="189">
        <v>284</v>
      </c>
      <c r="K112" s="189">
        <v>427.59447</v>
      </c>
      <c r="L112" s="189">
        <v>380</v>
      </c>
      <c r="M112" s="189">
        <v>48</v>
      </c>
      <c r="N112" s="189">
        <v>70</v>
      </c>
      <c r="O112" s="189">
        <v>124</v>
      </c>
      <c r="P112" s="189">
        <v>179</v>
      </c>
      <c r="Q112" s="189">
        <v>231</v>
      </c>
      <c r="R112" s="189">
        <v>248</v>
      </c>
      <c r="S112" s="189">
        <v>268</v>
      </c>
      <c r="T112" s="189">
        <v>46.05</v>
      </c>
      <c r="U112" s="189">
        <v>117.84778</v>
      </c>
      <c r="V112" s="189">
        <v>183.48994999999999</v>
      </c>
      <c r="W112" s="189">
        <v>226.23273</v>
      </c>
      <c r="X112" s="189">
        <v>256.69001000000003</v>
      </c>
      <c r="Y112" s="189">
        <v>277.34958</v>
      </c>
      <c r="Z112" s="189">
        <v>314.73602</v>
      </c>
      <c r="AA112" s="189">
        <v>346.39652000000001</v>
      </c>
      <c r="AB112" s="189">
        <v>366.51218999999998</v>
      </c>
      <c r="AC112" s="194">
        <v>407.42469</v>
      </c>
      <c r="AD112" s="452">
        <f t="shared" ca="1" si="34"/>
        <v>0</v>
      </c>
      <c r="AE112" s="273">
        <f t="shared" si="34"/>
        <v>0</v>
      </c>
      <c r="AF112" s="180" cm="1">
        <f t="array" aca="1" ref="AF112" ca="1">(SUMPRODUCT(E112:AC112,$E$119:$AC$119)+SUMPRODUCT(E112:AC112,$E$120:$AC$120,AZ112:BX112))/(SUMPRODUCT($E$119:$AC$119*(E112:AC112&lt;&gt;0))+SUMPRODUCT($E$120:$AC$120*AZ112:BX112*(E112:AC112&lt;&gt;0)))</f>
        <v>142.30832008681622</v>
      </c>
      <c r="AG112" s="228">
        <f t="shared" ca="1" si="37"/>
        <v>0</v>
      </c>
      <c r="AH112" s="236">
        <f t="shared" ref="AH112" ca="1" si="39">IFERROR(AG112*$C$104/(AD112+AE112*(1-discount_DZK)),0)</f>
        <v>0</v>
      </c>
      <c r="AI112" s="235">
        <v>0</v>
      </c>
      <c r="AJ112" s="231">
        <f t="shared" ref="AJ112:AJ118" ca="1" si="40">AD112*AH112+AE112*AI112</f>
        <v>0</v>
      </c>
      <c r="AK112" s="244">
        <f ca="1">IF(Tariff_SimCalculation!X11,SUMIFS($AJ$109:$AJ$115,Tariff_SimCalculation!$X$8:$X$14,1)/(SUMIFS($AD$109:$AD$115,Tariff_SimCalculation!$X$8:$X$14,1)+SUMIFS($AE$109:$AE$115,Tariff_SimCalculation!$X$8:$X$14,1)*(1-discount_DZK)),"")</f>
        <v>2.213827549689642</v>
      </c>
      <c r="AL112" s="235"/>
      <c r="AM112"/>
      <c r="AO112" s="235">
        <f t="shared" ca="1" si="35"/>
        <v>2.213827549689642</v>
      </c>
      <c r="AP112" s="235">
        <f t="shared" ref="AP112" si="41">IF($AE112&gt;0,(1-discount_DZK)*AO112,0)</f>
        <v>0</v>
      </c>
      <c r="AQ112"/>
      <c r="AR112" s="3">
        <v>1</v>
      </c>
      <c r="AS112" s="468">
        <f t="shared" ca="1" si="33"/>
        <v>2.3921715631192404</v>
      </c>
      <c r="AT112" s="235">
        <f t="shared" ca="1" si="33"/>
        <v>0</v>
      </c>
      <c r="AY112" s="178" t="s">
        <v>39</v>
      </c>
      <c r="AZ112" s="212"/>
      <c r="BA112" s="213"/>
      <c r="BB112" s="213"/>
      <c r="BC112" s="213"/>
      <c r="BD112" s="213"/>
      <c r="BE112" s="213"/>
      <c r="BF112" s="213"/>
      <c r="BG112" s="213"/>
      <c r="BH112" s="214"/>
      <c r="BI112" s="215"/>
      <c r="BJ112" s="213"/>
      <c r="BK112" s="213"/>
      <c r="BL112" s="213"/>
      <c r="BM112" s="213"/>
      <c r="BN112" s="213"/>
      <c r="BO112" s="216"/>
      <c r="BP112" s="212"/>
      <c r="BQ112" s="213"/>
      <c r="BR112" s="213"/>
      <c r="BS112" s="213"/>
      <c r="BT112" s="213"/>
      <c r="BU112" s="213"/>
      <c r="BV112" s="213"/>
      <c r="BW112" s="213"/>
      <c r="BX112" s="214"/>
    </row>
    <row r="113" spans="1:76" s="17" customFormat="1" outlineLevel="1">
      <c r="A113"/>
      <c r="B113" s="1" t="s">
        <v>21</v>
      </c>
      <c r="C113"/>
      <c r="D113" s="188" t="s">
        <v>34</v>
      </c>
      <c r="E113" s="193">
        <v>39</v>
      </c>
      <c r="F113" s="189">
        <v>278</v>
      </c>
      <c r="G113" s="189">
        <v>373</v>
      </c>
      <c r="H113" s="189">
        <v>10</v>
      </c>
      <c r="I113" s="189">
        <v>0</v>
      </c>
      <c r="J113" s="189">
        <v>274</v>
      </c>
      <c r="K113" s="189">
        <v>417.59447</v>
      </c>
      <c r="L113" s="189">
        <v>370</v>
      </c>
      <c r="M113" s="189">
        <v>38</v>
      </c>
      <c r="N113" s="189">
        <v>60</v>
      </c>
      <c r="O113" s="189">
        <v>114</v>
      </c>
      <c r="P113" s="189">
        <v>169</v>
      </c>
      <c r="Q113" s="189">
        <v>221</v>
      </c>
      <c r="R113" s="189">
        <v>238</v>
      </c>
      <c r="S113" s="189">
        <v>258</v>
      </c>
      <c r="T113" s="189">
        <v>36.049999999999997</v>
      </c>
      <c r="U113" s="189">
        <v>107.84778</v>
      </c>
      <c r="V113" s="189">
        <v>173.48994999999999</v>
      </c>
      <c r="W113" s="189">
        <v>216.23273</v>
      </c>
      <c r="X113" s="189">
        <v>246.69001</v>
      </c>
      <c r="Y113" s="189">
        <v>267.34958</v>
      </c>
      <c r="Z113" s="189">
        <v>304.73602</v>
      </c>
      <c r="AA113" s="189">
        <v>336.39652000000001</v>
      </c>
      <c r="AB113" s="189">
        <v>356.51218999999998</v>
      </c>
      <c r="AC113" s="194">
        <v>397.42469</v>
      </c>
      <c r="AD113" s="452">
        <f t="shared" ca="1" si="34"/>
        <v>0</v>
      </c>
      <c r="AE113" s="273">
        <f t="shared" si="34"/>
        <v>0</v>
      </c>
      <c r="AF113" s="180" cm="1">
        <f t="array" aca="1" ref="AF113" ca="1">(SUMPRODUCT(E113:AC113,$E$119:$AC$119)+SUMPRODUCT(E113:AC113,$E$120:$AC$120,AZ113:BX113))/(SUMPRODUCT($E$119:$AC$119*(E113:AC113&lt;&gt;0))+SUMPRODUCT($E$120:$AC$120*AZ113:BX113*(E113:AC113&lt;&gt;0)))</f>
        <v>124.21073434330486</v>
      </c>
      <c r="AG113" s="228">
        <f t="shared" ca="1" si="37"/>
        <v>0</v>
      </c>
      <c r="AH113" s="236">
        <f t="shared" ref="AH113" ca="1" si="42">IFERROR(AG113*$C$104/(AD113+AE113*(1-discount_DZK)),0)</f>
        <v>0</v>
      </c>
      <c r="AI113" s="235">
        <v>0</v>
      </c>
      <c r="AJ113" s="231">
        <f t="shared" ca="1" si="40"/>
        <v>0</v>
      </c>
      <c r="AK113" s="244">
        <f ca="1">IF(Tariff_SimCalculation!X12,SUMIFS($AJ$109:$AJ$115,Tariff_SimCalculation!$X$8:$X$14,1)/(SUMIFS($AD$109:$AD$115,Tariff_SimCalculation!$X$8:$X$14,1)+SUMIFS($AE$109:$AE$115,Tariff_SimCalculation!$X$8:$X$14,1)*(1-discount_DZK)),"")</f>
        <v>2.213827549689642</v>
      </c>
      <c r="AL113" s="235"/>
      <c r="AM113"/>
      <c r="AO113" s="235">
        <f t="shared" ca="1" si="35"/>
        <v>2.213827549689642</v>
      </c>
      <c r="AP113" s="235">
        <f t="shared" ref="AP113" si="43">IF($AE113&gt;0,(1-discount_DZK)*AO113,0)</f>
        <v>0</v>
      </c>
      <c r="AQ113"/>
      <c r="AR113" s="3">
        <v>1</v>
      </c>
      <c r="AS113" s="468">
        <f t="shared" ca="1" si="33"/>
        <v>2.3921715631192404</v>
      </c>
      <c r="AT113" s="235">
        <f t="shared" ca="1" si="33"/>
        <v>0</v>
      </c>
      <c r="AY113" s="178" t="s">
        <v>34</v>
      </c>
      <c r="AZ113" s="212"/>
      <c r="BA113" s="213"/>
      <c r="BB113" s="213"/>
      <c r="BC113" s="213"/>
      <c r="BD113" s="213"/>
      <c r="BE113" s="213"/>
      <c r="BF113" s="213"/>
      <c r="BG113" s="213"/>
      <c r="BH113" s="214"/>
      <c r="BI113" s="215"/>
      <c r="BJ113" s="213"/>
      <c r="BK113" s="213"/>
      <c r="BL113" s="213"/>
      <c r="BM113" s="213"/>
      <c r="BN113" s="213"/>
      <c r="BO113" s="216"/>
      <c r="BP113" s="212"/>
      <c r="BQ113" s="213"/>
      <c r="BR113" s="213"/>
      <c r="BS113" s="213"/>
      <c r="BT113" s="213"/>
      <c r="BU113" s="213"/>
      <c r="BV113" s="213"/>
      <c r="BW113" s="213"/>
      <c r="BX113" s="214"/>
    </row>
    <row r="114" spans="1:76" s="17" customFormat="1" outlineLevel="1">
      <c r="A114"/>
      <c r="B114" s="1" t="s">
        <v>21</v>
      </c>
      <c r="C114"/>
      <c r="D114" s="188" t="s">
        <v>33</v>
      </c>
      <c r="E114" s="193">
        <v>241</v>
      </c>
      <c r="F114" s="189">
        <v>480</v>
      </c>
      <c r="G114" s="189">
        <v>575</v>
      </c>
      <c r="H114" s="189">
        <v>284</v>
      </c>
      <c r="I114" s="189">
        <v>274</v>
      </c>
      <c r="J114" s="189">
        <v>0</v>
      </c>
      <c r="K114" s="189">
        <v>143.59447</v>
      </c>
      <c r="L114" s="189">
        <v>572</v>
      </c>
      <c r="M114" s="189">
        <v>240</v>
      </c>
      <c r="N114" s="189">
        <v>262</v>
      </c>
      <c r="O114" s="189">
        <v>316</v>
      </c>
      <c r="P114" s="189">
        <v>371</v>
      </c>
      <c r="Q114" s="189">
        <v>423</v>
      </c>
      <c r="R114" s="189">
        <v>440</v>
      </c>
      <c r="S114" s="189">
        <v>460</v>
      </c>
      <c r="T114" s="189">
        <v>238.05</v>
      </c>
      <c r="U114" s="189">
        <v>166.15222</v>
      </c>
      <c r="V114" s="189">
        <v>100.51005000000001</v>
      </c>
      <c r="W114" s="189">
        <v>57.767269999999996</v>
      </c>
      <c r="X114" s="189">
        <v>27.309989999999999</v>
      </c>
      <c r="Y114" s="189">
        <v>47.969560000000001</v>
      </c>
      <c r="Z114" s="189">
        <v>85.355999999999995</v>
      </c>
      <c r="AA114" s="189">
        <v>117.01650000000001</v>
      </c>
      <c r="AB114" s="189">
        <v>137.13216999999992</v>
      </c>
      <c r="AC114" s="194">
        <v>178.04467000000005</v>
      </c>
      <c r="AD114" s="452">
        <f t="shared" ca="1" si="34"/>
        <v>0</v>
      </c>
      <c r="AE114" s="273">
        <f t="shared" si="34"/>
        <v>0</v>
      </c>
      <c r="AF114" s="180" cm="1">
        <f t="array" aca="1" ref="AF114" ca="1">(SUMPRODUCT(E114:AC114,$E$119:$AC$119)+SUMPRODUCT(E114:AC114,$E$120:$AC$120,AZ114:BX114))/(SUMPRODUCT($E$119:$AC$119*(E114:AC114&lt;&gt;0))+SUMPRODUCT($E$120:$AC$120*AZ114:BX114*(E114:AC114&lt;&gt;0)))</f>
        <v>232.42888240160514</v>
      </c>
      <c r="AG114" s="228">
        <f t="shared" ca="1" si="37"/>
        <v>0</v>
      </c>
      <c r="AH114" s="236">
        <f t="shared" ref="AH114" ca="1" si="44">IFERROR(AG114*$C$104/(AD114+AE114*(1-discount_DZK)),0)</f>
        <v>0</v>
      </c>
      <c r="AI114" s="235">
        <v>0</v>
      </c>
      <c r="AJ114" s="231">
        <f t="shared" ca="1" si="40"/>
        <v>0</v>
      </c>
      <c r="AK114" s="244">
        <f ca="1">IF(Tariff_SimCalculation!X13,SUMIFS($AJ$109:$AJ$115,Tariff_SimCalculation!$X$8:$X$14,1)/(SUMIFS($AD$109:$AD$115,Tariff_SimCalculation!$X$8:$X$14,1)+SUMIFS($AE$109:$AE$115,Tariff_SimCalculation!$X$8:$X$14,1)*(1-discount_DZK)),"")</f>
        <v>2.213827549689642</v>
      </c>
      <c r="AL114" s="235"/>
      <c r="AM114"/>
      <c r="AO114" s="235">
        <f t="shared" ca="1" si="35"/>
        <v>2.213827549689642</v>
      </c>
      <c r="AP114" s="235">
        <f t="shared" ref="AP114" si="45">IF($AE114&gt;0,(1-discount_DZK)*AO114,0)</f>
        <v>0</v>
      </c>
      <c r="AQ114"/>
      <c r="AR114" s="3">
        <v>1</v>
      </c>
      <c r="AS114" s="468">
        <f t="shared" ca="1" si="33"/>
        <v>2.3921715631192404</v>
      </c>
      <c r="AT114" s="235">
        <f t="shared" ca="1" si="33"/>
        <v>0</v>
      </c>
      <c r="AY114" s="178" t="s">
        <v>33</v>
      </c>
      <c r="AZ114" s="212"/>
      <c r="BA114" s="213"/>
      <c r="BB114" s="213"/>
      <c r="BC114" s="213"/>
      <c r="BD114" s="213"/>
      <c r="BE114" s="213"/>
      <c r="BF114" s="213"/>
      <c r="BG114" s="213"/>
      <c r="BH114" s="214"/>
      <c r="BI114" s="215"/>
      <c r="BJ114" s="213"/>
      <c r="BK114" s="213"/>
      <c r="BL114" s="213"/>
      <c r="BM114" s="213"/>
      <c r="BN114" s="213"/>
      <c r="BO114" s="216"/>
      <c r="BP114" s="212"/>
      <c r="BQ114" s="213"/>
      <c r="BR114" s="213"/>
      <c r="BS114" s="213"/>
      <c r="BT114" s="213"/>
      <c r="BU114" s="213"/>
      <c r="BV114" s="213"/>
      <c r="BW114" s="213"/>
      <c r="BX114" s="214"/>
    </row>
    <row r="115" spans="1:76" s="17" customFormat="1" outlineLevel="1">
      <c r="A115"/>
      <c r="B115" s="1" t="s">
        <v>21</v>
      </c>
      <c r="C115"/>
      <c r="D115" s="188" t="s">
        <v>20</v>
      </c>
      <c r="E115" s="193">
        <v>384.59447</v>
      </c>
      <c r="F115" s="189">
        <v>623.59447</v>
      </c>
      <c r="G115" s="189">
        <v>718.59447</v>
      </c>
      <c r="H115" s="189">
        <v>427.59447</v>
      </c>
      <c r="I115" s="189">
        <v>417.59447</v>
      </c>
      <c r="J115" s="189">
        <v>143.59447</v>
      </c>
      <c r="K115" s="189">
        <v>0</v>
      </c>
      <c r="L115" s="189">
        <v>715.59447</v>
      </c>
      <c r="M115" s="189">
        <v>383.59447</v>
      </c>
      <c r="N115" s="189">
        <v>405.59447</v>
      </c>
      <c r="O115" s="189">
        <v>459.59447</v>
      </c>
      <c r="P115" s="189">
        <v>514.59447</v>
      </c>
      <c r="Q115" s="189">
        <v>566.59447</v>
      </c>
      <c r="R115" s="189">
        <v>583.59447</v>
      </c>
      <c r="S115" s="189">
        <v>603.59447</v>
      </c>
      <c r="T115" s="189">
        <v>381.64447000000001</v>
      </c>
      <c r="U115" s="189">
        <v>309.74669</v>
      </c>
      <c r="V115" s="189">
        <v>244.10452000000001</v>
      </c>
      <c r="W115" s="189">
        <v>201.36174</v>
      </c>
      <c r="X115" s="189">
        <v>170.90446</v>
      </c>
      <c r="Y115" s="189">
        <v>150.24489</v>
      </c>
      <c r="Z115" s="189">
        <v>112.85845</v>
      </c>
      <c r="AA115" s="189">
        <v>81.197949999999992</v>
      </c>
      <c r="AB115" s="189">
        <v>61.082280000000026</v>
      </c>
      <c r="AC115" s="194">
        <v>20.169780000000003</v>
      </c>
      <c r="AD115" s="452">
        <f t="shared" ca="1" si="34"/>
        <v>6234139</v>
      </c>
      <c r="AE115" s="273">
        <f t="shared" ca="1" si="34"/>
        <v>521331</v>
      </c>
      <c r="AF115" s="180" cm="1">
        <f t="array" aca="1" ref="AF115" ca="1">(SUMPRODUCT(E115:AC115,$E$119:$AC$119)+SUMPRODUCT(E115:AC115,$E$120:$AC$120,AZ115:BX115))/(SUMPRODUCT($E$119:$AC$119*(E115:AC115&lt;&gt;0))+SUMPRODUCT($E$120:$AC$120*AZ115:BX115*(E115:AC115&lt;&gt;0)))</f>
        <v>382.43403479247212</v>
      </c>
      <c r="AG115" s="228">
        <f t="shared" ca="1" si="37"/>
        <v>0.34400526439818507</v>
      </c>
      <c r="AH115" s="236">
        <f t="shared" ref="AH115" ca="1" si="46">IFERROR(AG115*$C$104/(AD115+AE115*(1-discount_DZK)),0)</f>
        <v>3.6071948513086447</v>
      </c>
      <c r="AI115" s="235">
        <f ca="1">(1-discount_DZK)*AH115</f>
        <v>3.2464753661777803</v>
      </c>
      <c r="AJ115" s="231">
        <f t="shared" ca="1" si="40"/>
        <v>24180242.35226725</v>
      </c>
      <c r="AK115" s="244">
        <f ca="1">IF(Tariff_SimCalculation!X14,SUMIFS($AJ$109:$AJ$115,Tariff_SimCalculation!$X$8:$X$14,1)/(SUMIFS($AD$109:$AD$115,Tariff_SimCalculation!$X$8:$X$14,1)+SUMIFS($AE$109:$AE$115,Tariff_SimCalculation!$X$8:$X$14,1)*(1-discount_DZK)),"")</f>
        <v>2.213827549689642</v>
      </c>
      <c r="AL115" s="235"/>
      <c r="AM115"/>
      <c r="AO115" s="235">
        <f t="shared" ca="1" si="35"/>
        <v>2.213827549689642</v>
      </c>
      <c r="AP115" s="235">
        <f ca="1">(1-discount_DZK)*AO115</f>
        <v>1.9924447947206778</v>
      </c>
      <c r="AQ115"/>
      <c r="AR115" s="3">
        <v>1</v>
      </c>
      <c r="AS115" s="468">
        <f t="shared" ca="1" si="33"/>
        <v>2.3921715631192404</v>
      </c>
      <c r="AT115" s="468">
        <f t="shared" ca="1" si="33"/>
        <v>2.1529544068073165</v>
      </c>
      <c r="AY115" s="178" t="s">
        <v>20</v>
      </c>
      <c r="AZ115" s="212"/>
      <c r="BA115" s="213"/>
      <c r="BB115" s="213"/>
      <c r="BC115" s="213"/>
      <c r="BD115" s="213"/>
      <c r="BE115" s="213"/>
      <c r="BF115" s="213"/>
      <c r="BG115" s="213"/>
      <c r="BH115" s="214"/>
      <c r="BI115" s="215"/>
      <c r="BJ115" s="213"/>
      <c r="BK115" s="213"/>
      <c r="BL115" s="213"/>
      <c r="BM115" s="213"/>
      <c r="BN115" s="213"/>
      <c r="BO115" s="216"/>
      <c r="BP115" s="212"/>
      <c r="BQ115" s="213"/>
      <c r="BR115" s="213"/>
      <c r="BS115" s="213"/>
      <c r="BT115" s="213"/>
      <c r="BU115" s="213">
        <v>1</v>
      </c>
      <c r="BV115" s="213">
        <v>1</v>
      </c>
      <c r="BW115" s="213">
        <v>1</v>
      </c>
      <c r="BX115" s="214">
        <v>1</v>
      </c>
    </row>
    <row r="116" spans="1:76" s="17" customFormat="1" outlineLevel="1">
      <c r="A116"/>
      <c r="B116" s="1" t="s">
        <v>21</v>
      </c>
      <c r="C116"/>
      <c r="D116" s="188" t="s">
        <v>56</v>
      </c>
      <c r="E116" s="193">
        <v>337</v>
      </c>
      <c r="F116" s="189">
        <v>92</v>
      </c>
      <c r="G116" s="189">
        <v>3</v>
      </c>
      <c r="H116" s="189">
        <v>380</v>
      </c>
      <c r="I116" s="189">
        <v>370</v>
      </c>
      <c r="J116" s="189">
        <v>572</v>
      </c>
      <c r="K116" s="189">
        <v>715.59447</v>
      </c>
      <c r="L116" s="189">
        <v>0</v>
      </c>
      <c r="M116" s="189">
        <v>336</v>
      </c>
      <c r="N116" s="189">
        <v>310</v>
      </c>
      <c r="O116" s="189">
        <v>412</v>
      </c>
      <c r="P116" s="189">
        <v>467</v>
      </c>
      <c r="Q116" s="189">
        <v>519</v>
      </c>
      <c r="R116" s="189">
        <v>536</v>
      </c>
      <c r="S116" s="189">
        <v>556</v>
      </c>
      <c r="T116" s="189">
        <v>334.05</v>
      </c>
      <c r="U116" s="189">
        <v>405.84778</v>
      </c>
      <c r="V116" s="189">
        <v>471.48995000000002</v>
      </c>
      <c r="W116" s="189">
        <v>514.23272999999995</v>
      </c>
      <c r="X116" s="189">
        <v>544.69001000000003</v>
      </c>
      <c r="Y116" s="189">
        <v>565.34958000000006</v>
      </c>
      <c r="Z116" s="189">
        <v>602.73602000000005</v>
      </c>
      <c r="AA116" s="189">
        <v>634.39652000000001</v>
      </c>
      <c r="AB116" s="189">
        <v>654.51218999999992</v>
      </c>
      <c r="AC116" s="194">
        <v>695.42469000000006</v>
      </c>
      <c r="AD116" s="452">
        <f t="shared" ca="1" si="34"/>
        <v>0</v>
      </c>
      <c r="AE116" s="273">
        <f t="shared" si="34"/>
        <v>0</v>
      </c>
      <c r="AF116" s="180" cm="1">
        <f t="array" aca="1" ref="AF116" ca="1">(SUMPRODUCT(E116:AC116,$E$119:$AC$119)+SUMPRODUCT(E116:AC116,$E$120:$AC$120,AZ116:BX116))/(SUMPRODUCT($E$119:$AC$119*(E116:AC116&lt;&gt;0))+SUMPRODUCT($E$120:$AC$120*AZ116:BX116*(E116:AC116&lt;&gt;0)))</f>
        <v>393.15072836967789</v>
      </c>
      <c r="AG116" s="228">
        <f t="shared" ca="1" si="37"/>
        <v>0</v>
      </c>
      <c r="AH116" s="236">
        <f t="shared" ref="AH116" ca="1" si="47">IFERROR(AG116*$C$104/(AD116+AE116*(1-discount_DZK)),0)</f>
        <v>0</v>
      </c>
      <c r="AI116" s="235">
        <v>0</v>
      </c>
      <c r="AJ116" s="231">
        <f t="shared" ca="1" si="40"/>
        <v>0</v>
      </c>
      <c r="AL116" s="235"/>
      <c r="AM116" s="243">
        <f ca="1">AH116*(1-discount_storage_entry)</f>
        <v>0</v>
      </c>
      <c r="AO116" s="294">
        <f ca="1">IF(AM116&lt;&gt;"",AM116,AH116)</f>
        <v>0</v>
      </c>
      <c r="AP116" s="235">
        <f t="shared" ref="AP116" si="48">IF($AE116&gt;0,(1-discount_DZK)*AO116,0)</f>
        <v>0</v>
      </c>
      <c r="AQ116"/>
      <c r="AR116" s="3">
        <v>1</v>
      </c>
      <c r="AS116" s="468">
        <f t="shared" ca="1" si="33"/>
        <v>0</v>
      </c>
      <c r="AT116" s="235">
        <f t="shared" ca="1" si="33"/>
        <v>0</v>
      </c>
      <c r="AY116" s="178" t="s">
        <v>56</v>
      </c>
      <c r="AZ116" s="212"/>
      <c r="BA116" s="213"/>
      <c r="BB116" s="213"/>
      <c r="BC116" s="213"/>
      <c r="BD116" s="213"/>
      <c r="BE116" s="213"/>
      <c r="BF116" s="213"/>
      <c r="BG116" s="213"/>
      <c r="BH116" s="214"/>
      <c r="BI116" s="215"/>
      <c r="BJ116" s="213"/>
      <c r="BK116" s="213"/>
      <c r="BL116" s="213"/>
      <c r="BM116" s="213"/>
      <c r="BN116" s="213"/>
      <c r="BO116" s="216"/>
      <c r="BP116" s="212"/>
      <c r="BQ116" s="213"/>
      <c r="BR116" s="213"/>
      <c r="BS116" s="213"/>
      <c r="BT116" s="213"/>
      <c r="BU116" s="213"/>
      <c r="BV116" s="213"/>
      <c r="BW116" s="213"/>
      <c r="BX116" s="214"/>
    </row>
    <row r="117" spans="1:76" s="17" customFormat="1" ht="15.75" outlineLevel="1" thickBot="1">
      <c r="A117"/>
      <c r="B117" s="1" t="s">
        <v>21</v>
      </c>
      <c r="C117"/>
      <c r="D117" s="188" t="s">
        <v>25</v>
      </c>
      <c r="E117" s="193">
        <v>5</v>
      </c>
      <c r="F117" s="189">
        <v>244</v>
      </c>
      <c r="G117" s="189">
        <v>339</v>
      </c>
      <c r="H117" s="189">
        <v>48</v>
      </c>
      <c r="I117" s="189">
        <v>38</v>
      </c>
      <c r="J117" s="189">
        <v>240</v>
      </c>
      <c r="K117" s="189">
        <v>383.59447</v>
      </c>
      <c r="L117" s="189">
        <v>336</v>
      </c>
      <c r="M117" s="189">
        <v>0</v>
      </c>
      <c r="N117" s="189">
        <v>26</v>
      </c>
      <c r="O117" s="189">
        <v>80</v>
      </c>
      <c r="P117" s="189">
        <v>135</v>
      </c>
      <c r="Q117" s="189">
        <v>187</v>
      </c>
      <c r="R117" s="189">
        <v>204</v>
      </c>
      <c r="S117" s="189">
        <v>224</v>
      </c>
      <c r="T117" s="189">
        <v>2.0499999999999998</v>
      </c>
      <c r="U117" s="189">
        <v>73.84778</v>
      </c>
      <c r="V117" s="189">
        <v>139.48994999999999</v>
      </c>
      <c r="W117" s="189">
        <v>182.23273</v>
      </c>
      <c r="X117" s="189">
        <v>212.69001</v>
      </c>
      <c r="Y117" s="189">
        <v>233.34958</v>
      </c>
      <c r="Z117" s="189">
        <v>270.73602</v>
      </c>
      <c r="AA117" s="189">
        <v>302.39652000000001</v>
      </c>
      <c r="AB117" s="189">
        <v>322.51218999999998</v>
      </c>
      <c r="AC117" s="194">
        <v>363.42469</v>
      </c>
      <c r="AD117" s="452">
        <f t="shared" ca="1" si="34"/>
        <v>6629423</v>
      </c>
      <c r="AE117" s="273">
        <f t="shared" si="34"/>
        <v>0</v>
      </c>
      <c r="AF117" s="180" cm="1">
        <f t="array" aca="1" ref="AF117" ca="1">(SUMPRODUCT(E117:AC117,$E$119:$AC$119)+SUMPRODUCT(E117:AC117,$E$120:$AC$120,AZ117:BX117))/(SUMPRODUCT($E$119:$AC$119*(E117:AC117&lt;&gt;0))+SUMPRODUCT($E$120:$AC$120*AZ117:BX117*(E117:AC117&lt;&gt;0)))</f>
        <v>109.49484392216233</v>
      </c>
      <c r="AG117" s="228">
        <f t="shared" ca="1" si="37"/>
        <v>9.6654567796596716E-2</v>
      </c>
      <c r="AH117" s="236">
        <f t="shared" ref="AH117" ca="1" si="49">IFERROR(AG117*$C$104/(AD117+AE117*(1-discount_DZK)),0)</f>
        <v>1.024807306478885</v>
      </c>
      <c r="AI117" s="235">
        <v>0</v>
      </c>
      <c r="AJ117" s="231">
        <f t="shared" ca="1" si="40"/>
        <v>6793881.128139169</v>
      </c>
      <c r="AL117" s="235"/>
      <c r="AM117" s="243">
        <f ca="1">AH117*(1-discount_storage_entry)</f>
        <v>0</v>
      </c>
      <c r="AO117" s="294">
        <f ca="1">IF(AM117&lt;&gt;"",AM117,AH117)</f>
        <v>0</v>
      </c>
      <c r="AP117" s="235">
        <f t="shared" ref="AP117" si="50">IF($AE117&gt;0,(1-discount_DZK)*AO117,0)</f>
        <v>0</v>
      </c>
      <c r="AQ117"/>
      <c r="AR117" s="3">
        <v>1</v>
      </c>
      <c r="AS117" s="468">
        <f t="shared" ca="1" si="33"/>
        <v>0</v>
      </c>
      <c r="AT117" s="235">
        <f t="shared" ca="1" si="33"/>
        <v>0</v>
      </c>
      <c r="AY117" s="179" t="s">
        <v>25</v>
      </c>
      <c r="AZ117" s="217"/>
      <c r="BA117" s="218"/>
      <c r="BB117" s="218"/>
      <c r="BC117" s="218"/>
      <c r="BD117" s="218"/>
      <c r="BE117" s="218"/>
      <c r="BF117" s="218"/>
      <c r="BG117" s="218"/>
      <c r="BH117" s="219"/>
      <c r="BI117" s="220"/>
      <c r="BJ117" s="221"/>
      <c r="BK117" s="221"/>
      <c r="BL117" s="221"/>
      <c r="BM117" s="221"/>
      <c r="BN117" s="221"/>
      <c r="BO117" s="222"/>
      <c r="BP117" s="217"/>
      <c r="BQ117" s="218"/>
      <c r="BR117" s="218"/>
      <c r="BS117" s="218"/>
      <c r="BT117" s="218"/>
      <c r="BU117" s="218"/>
      <c r="BV117" s="218"/>
      <c r="BW117" s="218"/>
      <c r="BX117" s="219"/>
    </row>
    <row r="118" spans="1:76" s="17" customFormat="1" ht="15.75" outlineLevel="1" thickBot="1">
      <c r="A118"/>
      <c r="B118" s="1" t="s">
        <v>21</v>
      </c>
      <c r="C118"/>
      <c r="D118" s="240" t="s">
        <v>35</v>
      </c>
      <c r="E118" s="195">
        <v>27</v>
      </c>
      <c r="F118" s="196">
        <v>218</v>
      </c>
      <c r="G118" s="196">
        <v>313</v>
      </c>
      <c r="H118" s="196">
        <v>70</v>
      </c>
      <c r="I118" s="196">
        <v>60</v>
      </c>
      <c r="J118" s="196">
        <v>262</v>
      </c>
      <c r="K118" s="196">
        <v>405.59447</v>
      </c>
      <c r="L118" s="196">
        <v>310</v>
      </c>
      <c r="M118" s="196">
        <v>26</v>
      </c>
      <c r="N118" s="196">
        <v>0</v>
      </c>
      <c r="O118" s="196">
        <v>54</v>
      </c>
      <c r="P118" s="196">
        <v>109</v>
      </c>
      <c r="Q118" s="196">
        <v>161</v>
      </c>
      <c r="R118" s="196">
        <v>178</v>
      </c>
      <c r="S118" s="196">
        <v>198</v>
      </c>
      <c r="T118" s="196">
        <v>24</v>
      </c>
      <c r="U118" s="196">
        <v>95.84778</v>
      </c>
      <c r="V118" s="196">
        <v>161.48994999999999</v>
      </c>
      <c r="W118" s="196">
        <v>204.23273</v>
      </c>
      <c r="X118" s="196">
        <v>234.69001</v>
      </c>
      <c r="Y118" s="196">
        <v>255.34958</v>
      </c>
      <c r="Z118" s="196">
        <v>292.73602</v>
      </c>
      <c r="AA118" s="196">
        <v>324.39652000000001</v>
      </c>
      <c r="AB118" s="196">
        <v>344.51218999999998</v>
      </c>
      <c r="AC118" s="197">
        <v>385.42469</v>
      </c>
      <c r="AD118" s="453">
        <f t="shared" ca="1" si="34"/>
        <v>4028400.0000000009</v>
      </c>
      <c r="AE118" s="200">
        <f t="shared" si="34"/>
        <v>0</v>
      </c>
      <c r="AF118" s="180" cm="1">
        <f t="array" aca="1" ref="AF118" ca="1">(SUMPRODUCT(E118:AC118,$E$119:$AC$119)+SUMPRODUCT(E118:AC118,$E$120:$AC$120,AZ118:BX118))/(SUMPRODUCT($E$119:$AC$119*(E118:AC118&lt;&gt;0))+SUMPRODUCT($E$120:$AC$120*AZ118:BX118*(E118:AC118&lt;&gt;0)))</f>
        <v>113.60062609897517</v>
      </c>
      <c r="AG118" s="228">
        <f t="shared" ca="1" si="37"/>
        <v>6.0934927094068697E-2</v>
      </c>
      <c r="AH118" s="236">
        <f t="shared" ref="AH118" ca="1" si="51">IFERROR(AG118*$C$104/(AD118+AE118*(1-discount_DZK)),0)</f>
        <v>1.0632350115916451</v>
      </c>
      <c r="AI118" s="235">
        <v>0</v>
      </c>
      <c r="AJ118" s="231">
        <f t="shared" ca="1" si="40"/>
        <v>4283135.9206957845</v>
      </c>
      <c r="AL118" s="235"/>
      <c r="AM118" s="243">
        <f ca="1">AH118*(1-discount_storage_entry)</f>
        <v>0</v>
      </c>
      <c r="AO118" s="294">
        <f ca="1">IF(AM118&lt;&gt;"",AM118,AH118)</f>
        <v>0</v>
      </c>
      <c r="AP118" s="235">
        <f t="shared" ref="AP118" si="52">IF($AE118&gt;0,(1-discount_DZK)*AO118,0)</f>
        <v>0</v>
      </c>
      <c r="AQ118"/>
      <c r="AR118" s="3">
        <v>1</v>
      </c>
      <c r="AS118" s="468">
        <f t="shared" ca="1" si="33"/>
        <v>0</v>
      </c>
      <c r="AT118" s="235">
        <f t="shared" ca="1" si="33"/>
        <v>0</v>
      </c>
      <c r="AY118" s="177" t="s">
        <v>40</v>
      </c>
      <c r="AZ118" s="223"/>
      <c r="BA118" s="224"/>
      <c r="BB118" s="224"/>
      <c r="BC118" s="224"/>
      <c r="BD118" s="224"/>
      <c r="BE118" s="224"/>
      <c r="BF118" s="224"/>
      <c r="BG118" s="224"/>
      <c r="BH118" s="225"/>
      <c r="BI118" s="207"/>
      <c r="BJ118" s="208"/>
      <c r="BK118" s="208"/>
      <c r="BL118" s="208"/>
      <c r="BM118" s="208"/>
      <c r="BN118" s="208"/>
      <c r="BO118" s="209"/>
      <c r="BP118" s="226"/>
      <c r="BQ118" s="224"/>
      <c r="BR118" s="224"/>
      <c r="BS118" s="224"/>
      <c r="BT118" s="224"/>
      <c r="BU118" s="224"/>
      <c r="BV118" s="224"/>
      <c r="BW118" s="224"/>
      <c r="BX118" s="227"/>
    </row>
    <row r="119" spans="1:76" s="17" customFormat="1" outlineLevel="1">
      <c r="A119"/>
      <c r="B119" s="1" t="s">
        <v>31</v>
      </c>
      <c r="C119" s="3"/>
      <c r="D119" s="171" t="s">
        <v>170</v>
      </c>
      <c r="E119" s="201">
        <f ca="1">SUMIFS($G$53:$G$98,$F$53:$F$98,E$108,$D$53:$D$98,E$107,$E$53:$E$98,$B119)</f>
        <v>1975276</v>
      </c>
      <c r="F119" s="202">
        <f t="shared" ref="F119:AC120" ca="1" si="53">SUMIFS($G$53:$G$98,$F$53:$F$98,F$108,$D$53:$D$98,F$107,$E$53:$E$98,$B119)</f>
        <v>3366967</v>
      </c>
      <c r="G119" s="202">
        <f t="shared" ca="1" si="53"/>
        <v>0</v>
      </c>
      <c r="H119" s="202">
        <f t="shared" ca="1" si="53"/>
        <v>3189496</v>
      </c>
      <c r="I119" s="202">
        <f t="shared" ca="1" si="53"/>
        <v>0</v>
      </c>
      <c r="J119" s="202">
        <f t="shared" ca="1" si="53"/>
        <v>872840</v>
      </c>
      <c r="K119" s="202">
        <f t="shared" ca="1" si="53"/>
        <v>6683747</v>
      </c>
      <c r="L119" s="202">
        <f t="shared" ca="1" si="53"/>
        <v>0</v>
      </c>
      <c r="M119" s="205">
        <f t="shared" ca="1" si="53"/>
        <v>6629423</v>
      </c>
      <c r="N119" s="201">
        <f t="shared" ca="1" si="53"/>
        <v>0</v>
      </c>
      <c r="O119" s="202">
        <f t="shared" ca="1" si="53"/>
        <v>0</v>
      </c>
      <c r="P119" s="202">
        <f t="shared" ca="1" si="53"/>
        <v>0</v>
      </c>
      <c r="Q119" s="202">
        <f t="shared" ca="1" si="53"/>
        <v>0</v>
      </c>
      <c r="R119" s="202">
        <f t="shared" ca="1" si="53"/>
        <v>0</v>
      </c>
      <c r="S119" s="202">
        <f t="shared" ca="1" si="53"/>
        <v>0</v>
      </c>
      <c r="T119" s="202">
        <f t="shared" ca="1" si="53"/>
        <v>21422795</v>
      </c>
      <c r="U119" s="202">
        <f t="shared" ca="1" si="53"/>
        <v>1111502.9999999988</v>
      </c>
      <c r="V119" s="202">
        <f t="shared" ca="1" si="53"/>
        <v>166730.99999999983</v>
      </c>
      <c r="W119" s="202">
        <f t="shared" ca="1" si="53"/>
        <v>221438.99999999977</v>
      </c>
      <c r="X119" s="202">
        <f t="shared" ca="1" si="53"/>
        <v>1952542.9999999979</v>
      </c>
      <c r="Y119" s="202">
        <f t="shared" ca="1" si="53"/>
        <v>110455.99999999988</v>
      </c>
      <c r="Z119" s="202">
        <f t="shared" ca="1" si="53"/>
        <v>55222.999999999942</v>
      </c>
      <c r="AA119" s="202">
        <f t="shared" ca="1" si="53"/>
        <v>22021.999999999978</v>
      </c>
      <c r="AB119" s="202">
        <f t="shared" ca="1" si="53"/>
        <v>110086.9999999999</v>
      </c>
      <c r="AC119" s="203">
        <f t="shared" ca="1" si="53"/>
        <v>284538.99999999971</v>
      </c>
      <c r="AD119"/>
      <c r="AE119"/>
      <c r="AF119"/>
      <c r="AG119"/>
      <c r="AH119"/>
      <c r="AI119" s="184"/>
      <c r="AJ119" s="241">
        <f ca="1">SUM(AJ109:AJ118)</f>
        <v>70290326.499999985</v>
      </c>
      <c r="AM119"/>
      <c r="AO119"/>
      <c r="AP119"/>
      <c r="AQ119"/>
      <c r="AR119"/>
      <c r="AS119"/>
      <c r="AT119"/>
    </row>
    <row r="120" spans="1:76" s="17" customFormat="1" ht="15.75" outlineLevel="1" thickBot="1">
      <c r="A120"/>
      <c r="B120" s="1" t="s">
        <v>32</v>
      </c>
      <c r="C120" s="3"/>
      <c r="D120" s="171" t="s">
        <v>170</v>
      </c>
      <c r="E120" s="198">
        <f>SUMIFS($G$53:$G$98,$F$53:$F$98,E$108,$D$53:$D$98,E$107,$E$53:$E$98,$B120)</f>
        <v>0</v>
      </c>
      <c r="F120" s="199">
        <f t="shared" si="53"/>
        <v>0</v>
      </c>
      <c r="G120" s="199">
        <f t="shared" ca="1" si="53"/>
        <v>585865</v>
      </c>
      <c r="H120" s="199">
        <f t="shared" si="53"/>
        <v>0</v>
      </c>
      <c r="I120" s="199">
        <f t="shared" si="53"/>
        <v>0</v>
      </c>
      <c r="J120" s="199">
        <f t="shared" si="53"/>
        <v>0</v>
      </c>
      <c r="K120" s="199">
        <f t="shared" si="53"/>
        <v>0</v>
      </c>
      <c r="L120" s="199">
        <f t="shared" si="53"/>
        <v>0</v>
      </c>
      <c r="M120" s="206">
        <f t="shared" si="53"/>
        <v>0</v>
      </c>
      <c r="N120" s="198">
        <f t="shared" ca="1" si="53"/>
        <v>4635629</v>
      </c>
      <c r="O120" s="199">
        <f t="shared" si="53"/>
        <v>0</v>
      </c>
      <c r="P120" s="199">
        <f t="shared" si="53"/>
        <v>0</v>
      </c>
      <c r="Q120" s="199">
        <f t="shared" si="53"/>
        <v>0</v>
      </c>
      <c r="R120" s="199">
        <f t="shared" ca="1" si="53"/>
        <v>2378663</v>
      </c>
      <c r="S120" s="199">
        <f t="shared" si="53"/>
        <v>0</v>
      </c>
      <c r="T120" s="199">
        <f t="shared" si="53"/>
        <v>0</v>
      </c>
      <c r="U120" s="199">
        <f t="shared" si="53"/>
        <v>0</v>
      </c>
      <c r="V120" s="199">
        <f t="shared" si="53"/>
        <v>0</v>
      </c>
      <c r="W120" s="199">
        <f t="shared" si="53"/>
        <v>0</v>
      </c>
      <c r="X120" s="199">
        <f t="shared" si="53"/>
        <v>0</v>
      </c>
      <c r="Y120" s="199">
        <f t="shared" si="53"/>
        <v>0</v>
      </c>
      <c r="Z120" s="199">
        <f t="shared" si="53"/>
        <v>0</v>
      </c>
      <c r="AA120" s="199">
        <f t="shared" si="53"/>
        <v>0</v>
      </c>
      <c r="AB120" s="199">
        <f t="shared" si="53"/>
        <v>0</v>
      </c>
      <c r="AC120" s="200">
        <f t="shared" si="53"/>
        <v>0</v>
      </c>
      <c r="AD120" s="148"/>
      <c r="AE120" s="233">
        <f ca="1">SUM(E119:AC120,AD109:AE118)</f>
        <v>93232229</v>
      </c>
      <c r="AF120" s="148"/>
      <c r="AG120" s="148"/>
      <c r="AH120" s="231">
        <f ca="1">SUMPRODUCT(AD109:AD118,AH109:AH118)</f>
        <v>68597838.25087516</v>
      </c>
      <c r="AI120" s="231">
        <f ca="1">SUMPRODUCT(AE109:AE118,AI109:AI118)</f>
        <v>1692488.2491248285</v>
      </c>
      <c r="AJ120" s="231">
        <f ca="1">AI120+AH120</f>
        <v>70290326.499999985</v>
      </c>
      <c r="AK120" s="148" t="s">
        <v>19</v>
      </c>
      <c r="AO120"/>
      <c r="AP120" s="245" t="s">
        <v>152</v>
      </c>
      <c r="AQ120"/>
      <c r="AR120"/>
      <c r="AS120" s="245" t="s">
        <v>161</v>
      </c>
      <c r="AT120"/>
    </row>
    <row r="121" spans="1:76" s="17" customFormat="1" outlineLevel="1">
      <c r="A121" s="10"/>
      <c r="B121" s="186"/>
      <c r="C121" s="186"/>
      <c r="D121" s="1" t="s">
        <v>320</v>
      </c>
      <c r="E121" s="230" cm="1">
        <f t="array" aca="1" ref="E121" ca="1">(SUMPRODUCT(E109:E118,$AD$109:$AD$118)+SUMPRODUCT(E109:E118,$AE$109:$AE$118,AZ109:AZ118))/(SUMPRODUCT($AD$109:$AD$118*(E$109:E$118&lt;&gt;0))+SUMPRODUCT($AE$109:$AE$118*AZ109:AZ118*(E$109:E$118&lt;&gt;0)))</f>
        <v>184.93883548500474</v>
      </c>
      <c r="F121" s="230" cm="1">
        <f t="array" aca="1" ref="F121" ca="1">(SUMPRODUCT(F109:F118,$AD$109:$AD$118)+SUMPRODUCT(F109:F118,$AE$109:$AE$118,BA109:BA118))/(SUMPRODUCT($AD$109:$AD$118*(F$109:F$118&lt;&gt;0))+SUMPRODUCT($AE$109:$AE$118*BA109:BA118*(F$109:F$118&lt;&gt;0)))</f>
        <v>317.38581542168879</v>
      </c>
      <c r="G121" s="230" cm="1">
        <f t="array" aca="1" ref="G121" ca="1">(SUMPRODUCT(G109:G118,$AD$109:$AD$118)+SUMPRODUCT(G109:G118,$AE$109:$AE$118,BB109:BB118))/(SUMPRODUCT($AD$109:$AD$118*(G$109:G$118&lt;&gt;0))+SUMPRODUCT($AE$109:$AE$118*BB109:BB118*(G$109:G$118&lt;&gt;0)))</f>
        <v>350.47022257447242</v>
      </c>
      <c r="H121" s="230" cm="1">
        <f t="array" aca="1" ref="H121" ca="1">(SUMPRODUCT(H109:H118,$AD$109:$AD$118)+SUMPRODUCT(H109:H118,$AE$109:$AE$118,BC109:BC118))/(SUMPRODUCT($AD$109:$AD$118*(H$109:H$118&lt;&gt;0))+SUMPRODUCT($AE$109:$AE$118*BC109:BC118*(H$109:H$118&lt;&gt;0)))</f>
        <v>171.70907602208234</v>
      </c>
      <c r="I121" s="230" cm="1">
        <f t="array" aca="1" ref="I121" ca="1">(SUMPRODUCT(I109:I118,$AD$109:$AD$118)+SUMPRODUCT(I109:I118,$AE$109:$AE$118,BD109:BD118))/(SUMPRODUCT($AD$109:$AD$118*(I$109:I$118&lt;&gt;0))+SUMPRODUCT($AE$109:$AE$118*BD109:BD118*(I$109:I$118&lt;&gt;0)))</f>
        <v>161.70907602208234</v>
      </c>
      <c r="J121" s="230" cm="1">
        <f t="array" aca="1" ref="J121" ca="1">(SUMPRODUCT(J109:J118,$AD$109:$AD$118)+SUMPRODUCT(J109:J118,$AE$109:$AE$118,BE109:BE118))/(SUMPRODUCT($AD$109:$AD$118*(J$109:J$118&lt;&gt;0))+SUMPRODUCT($AE$109:$AE$118*BE109:BE118*(J$109:J$118&lt;&gt;0)))</f>
        <v>283.36800059398786</v>
      </c>
      <c r="K121" s="230" cm="1">
        <f t="array" aca="1" ref="K121" ca="1">(SUMPRODUCT(K109:K118,$AD$109:$AD$118)+SUMPRODUCT(K109:K118,$AE$109:$AE$118,BF109:BF118))/(SUMPRODUCT($AD$109:$AD$118*(K$109:K$118&lt;&gt;0))+SUMPRODUCT($AE$109:$AE$118*BF109:BF118*(K$109:K$118&lt;&gt;0)))</f>
        <v>455.34438002886986</v>
      </c>
      <c r="L121" s="230" cm="1">
        <f t="array" aca="1" ref="L121" ca="1">(SUMPRODUCT(L109:L118,$AD$109:$AD$118)+SUMPRODUCT(L109:L118,$AE$109:$AE$118,BG109:BG118))/(SUMPRODUCT($AD$109:$AD$118*(L$109:L$118&lt;&gt;0))+SUMPRODUCT($AE$109:$AE$118*BG109:BG118*(L$109:L$118&lt;&gt;0)))</f>
        <v>339.84110000086446</v>
      </c>
      <c r="M121" s="230" cm="1">
        <f t="array" aca="1" ref="M121" ca="1">(SUMPRODUCT(M109:M118,$AD$109:$AD$118)+SUMPRODUCT(M109:M118,$AE$109:$AE$118,BH109:BH118))/(SUMPRODUCT($AD$109:$AD$118*(M$109:M$118&lt;&gt;0))+SUMPRODUCT($AE$109:$AE$118*BH109:BH118*(M$109:M$118&lt;&gt;0)))</f>
        <v>154.77017094640803</v>
      </c>
      <c r="N121" s="230" cm="1">
        <f t="array" aca="1" ref="N121" ca="1">(SUMPRODUCT(N109:N118,$AD$109:$AD$118)+SUMPRODUCT(N109:N118,$AE$109:$AE$118,BI109:BI118))/(SUMPRODUCT($AD$109:$AD$118*(N$109:N$118&lt;&gt;0))+SUMPRODUCT($AE$109:$AE$118*BI109:BI118*(N$109:N$118&lt;&gt;0)))</f>
        <v>149.85334505915716</v>
      </c>
      <c r="O121" s="230" cm="1">
        <f t="array" aca="1" ref="O121" ca="1">(SUMPRODUCT(O109:O118,$AD$109:$AD$118)+SUMPRODUCT(O109:O118,$AE$109:$AE$118,BJ109:BJ118))/(SUMPRODUCT($AD$109:$AD$118*(O$109:O$118&lt;&gt;0))+SUMPRODUCT($AE$109:$AE$118*BJ109:BJ118*(O$109:O$118&lt;&gt;0)))</f>
        <v>162.83963404604478</v>
      </c>
      <c r="P121" s="230" cm="1">
        <f t="array" aca="1" ref="P121" ca="1">(SUMPRODUCT(P109:P118,$AD$109:$AD$118)+SUMPRODUCT(P109:P118,$AE$109:$AE$118,BK109:BK118))/(SUMPRODUCT($AD$109:$AD$118*(P$109:P$118&lt;&gt;0))+SUMPRODUCT($AE$109:$AE$118*BK109:BK118*(P$109:P$118&lt;&gt;0)))</f>
        <v>192.71288036787789</v>
      </c>
      <c r="Q121" s="230" cm="1">
        <f t="array" aca="1" ref="Q121" ca="1">(SUMPRODUCT(Q109:Q118,$AD$109:$AD$118)+SUMPRODUCT(Q109:Q118,$AE$109:$AE$118,BL109:BL118))/(SUMPRODUCT($AD$109:$AD$118*(Q$109:Q$118&lt;&gt;0))+SUMPRODUCT($AE$109:$AE$118*BL109:BL118*(Q$109:Q$118&lt;&gt;0)))</f>
        <v>220.95667689033826</v>
      </c>
      <c r="R121" s="230" cm="1">
        <f t="array" aca="1" ref="R121" ca="1">(SUMPRODUCT(R109:R118,$AD$109:$AD$118)+SUMPRODUCT(R109:R118,$AE$109:$AE$118,BM109:BM118))/(SUMPRODUCT($AD$109:$AD$118*(R$109:R$118&lt;&gt;0))+SUMPRODUCT($AE$109:$AE$118*BM109:BM118*(R$109:R$118&lt;&gt;0)))</f>
        <v>230.19022575345031</v>
      </c>
      <c r="S121" s="230" cm="1">
        <f t="array" aca="1" ref="S121" ca="1">(SUMPRODUCT(S109:S118,$AD$109:$AD$118)+SUMPRODUCT(S109:S118,$AE$109:$AE$118,BN109:BN118))/(SUMPRODUCT($AD$109:$AD$118*(S$109:S$118&lt;&gt;0))+SUMPRODUCT($AE$109:$AE$118*BN109:BN118*(S$109:S$118&lt;&gt;0)))</f>
        <v>241.05322441593506</v>
      </c>
      <c r="T121" s="230" cm="1">
        <f t="array" aca="1" ref="T121" ca="1">(SUMPRODUCT(T109:T118,$AD$109:$AD$118)+SUMPRODUCT(T109:T118,$AE$109:$AE$118,BO109:BO118))/(SUMPRODUCT($AD$109:$AD$118*(T$109:T$118&lt;&gt;0))+SUMPRODUCT($AE$109:$AE$118*BO109:BO118*(T$109:T$118&lt;&gt;0)))</f>
        <v>125.73078025128051</v>
      </c>
      <c r="U121" s="230" cm="1">
        <f t="array" aca="1" ref="U121" ca="1">(SUMPRODUCT(U109:U118,$AD$109:$AD$118)+SUMPRODUCT(U109:U118,$AE$109:$AE$118,BP109:BP118))/(SUMPRODUCT($AD$109:$AD$118*(U$109:U$118&lt;&gt;0))+SUMPRODUCT($AE$109:$AE$118*BP109:BP118*(U$109:U$118&lt;&gt;0)))</f>
        <v>173.30337739888427</v>
      </c>
      <c r="V121" s="230" cm="1">
        <f t="array" aca="1" ref="V121" ca="1">(SUMPRODUCT(V109:V118,$AD$109:$AD$118)+SUMPRODUCT(V109:V118,$AE$109:$AE$118,BQ109:BQ118))/(SUMPRODUCT($AD$109:$AD$118*(V$109:V$118&lt;&gt;0))+SUMPRODUCT($AE$109:$AE$118*BQ109:BQ118*(V$109:V$118&lt;&gt;0)))</f>
        <v>216.78688130126326</v>
      </c>
      <c r="W121" s="230" cm="1">
        <f t="array" aca="1" ref="W121" ca="1">(SUMPRODUCT(W109:W118,$AD$109:$AD$118)+SUMPRODUCT(W109:W118,$AE$109:$AE$118,BR109:BR118))/(SUMPRODUCT($AD$109:$AD$118*(W$109:W$118&lt;&gt;0))+SUMPRODUCT($AE$109:$AE$118*BR109:BR118*(W$109:W$118&lt;&gt;0)))</f>
        <v>245.101086040816</v>
      </c>
      <c r="X121" s="230" cm="1">
        <f t="array" aca="1" ref="X121" ca="1">(SUMPRODUCT(X109:X118,$AD$109:$AD$118)+SUMPRODUCT(X109:X118,$AE$109:$AE$118,BS109:BS118))/(SUMPRODUCT($AD$109:$AD$118*(X$109:X$118&lt;&gt;0))+SUMPRODUCT($AE$109:$AE$118*BS109:BS118*(X$109:X$118&lt;&gt;0)))</f>
        <v>265.27697683991443</v>
      </c>
      <c r="Y121" s="230" cm="1">
        <f t="array" aca="1" ref="Y121" ca="1">(SUMPRODUCT(Y109:Y118,$AD$109:$AD$118)+SUMPRODUCT(Y109:Y118,$AE$109:$AE$118,BT109:BT118))/(SUMPRODUCT($AD$109:$AD$118*(Y$109:Y$118&lt;&gt;0))+SUMPRODUCT($AE$109:$AE$118*BT109:BT118*(Y$109:Y$118&lt;&gt;0)))</f>
        <v>278.9625465387295</v>
      </c>
      <c r="Z121" s="230" cm="1">
        <f t="array" aca="1" ref="Z121" ca="1">(SUMPRODUCT(Z109:Z118,$AD$109:$AD$118)+SUMPRODUCT(Z109:Z118,$AE$109:$AE$118,BU109:BU118))/(SUMPRODUCT($AD$109:$AD$118*(Z$109:Z$118&lt;&gt;0))+SUMPRODUCT($AE$109:$AE$118*BU109:BU118*(Z$109:Z$118&lt;&gt;0)))</f>
        <v>301.07198407164384</v>
      </c>
      <c r="AA121" s="230" cm="1">
        <f t="array" aca="1" ref="AA121" ca="1">(SUMPRODUCT(AA109:AA118,$AD$109:$AD$118)+SUMPRODUCT(AA109:AA118,$AE$109:$AE$118,BV109:BV118))/(SUMPRODUCT($AD$109:$AD$118*(AA$109:AA$118&lt;&gt;0))+SUMPRODUCT($AE$109:$AE$118*BV109:BV118*(AA$109:AA$118&lt;&gt;0)))</f>
        <v>321.31236801398461</v>
      </c>
      <c r="AB121" s="230" cm="1">
        <f t="array" aca="1" ref="AB121" ca="1">(SUMPRODUCT(AB109:AB118,$AD$109:$AD$118)+SUMPRODUCT(AB109:AB118,$AE$109:$AE$118,BW109:BW118))/(SUMPRODUCT($AD$109:$AD$118*(AB$109:AB$118&lt;&gt;0))+SUMPRODUCT($AE$109:$AE$118*BW109:BW118*(AB$109:AB$118&lt;&gt;0)))</f>
        <v>334.17220547888331</v>
      </c>
      <c r="AC121" s="230" cm="1">
        <f t="array" aca="1" ref="AC121" ca="1">(SUMPRODUCT(AC109:AC118,$AD$109:$AD$118)+SUMPRODUCT(AC109:AC118,$AE$109:$AE$118,BX109:BX118))/(SUMPRODUCT($AD$109:$AD$118*(AC$109:AC$118&lt;&gt;0))+SUMPRODUCT($AE$109:$AE$118*BX109:BX118*(AC$109:AC$118&lt;&gt;0)))</f>
        <v>360.32734225944637</v>
      </c>
      <c r="AD121" s="148"/>
      <c r="AE121" s="148"/>
      <c r="AF121" s="148"/>
      <c r="AG121" s="148"/>
      <c r="AH121" s="148"/>
      <c r="AI121" s="232"/>
      <c r="AJ121" s="148"/>
      <c r="AM121" s="148"/>
      <c r="AO121"/>
      <c r="AP121" s="246">
        <f ca="1">SUMPRODUCT(AO109:AO118,$AD$109:$AD$118)+SUMPRODUCT(AP109:AP118,$AE$109:$AE$118)</f>
        <v>59213309.451165043</v>
      </c>
      <c r="AQ121" s="17" t="s">
        <v>19</v>
      </c>
      <c r="AR121"/>
      <c r="AS121" s="246">
        <f ca="1">SUMPRODUCT(AS109:AS118,$AD$109:$AD$118)+SUMPRODUCT(AT109:AT118,$AE$109:$AE$118)</f>
        <v>63983481.932508498</v>
      </c>
      <c r="AT121" s="17" t="s">
        <v>19</v>
      </c>
    </row>
    <row r="122" spans="1:76" s="17" customFormat="1" outlineLevel="1">
      <c r="A122"/>
      <c r="B122" s="186"/>
      <c r="C122"/>
      <c r="D122" s="1" t="s">
        <v>138</v>
      </c>
      <c r="E122" s="176">
        <f ca="1">E121*(E119+E120)/(SUMPRODUCT($E$121:$AC$121,$E$119:$AC$119)+SUMPRODUCT($E$121:$AC$121,$E$120:$AC$120))</f>
        <v>3.1948302462905198E-2</v>
      </c>
      <c r="F122" s="176">
        <f t="shared" ref="F122:AC122" ca="1" si="54">F121*(F119+F120)/(SUMPRODUCT($E$121:$AC$121,$E$119:$AC$119)+SUMPRODUCT($E$121:$AC$121,$E$120:$AC$120))</f>
        <v>9.3458381338558341E-2</v>
      </c>
      <c r="G122" s="176">
        <f t="shared" ca="1" si="54"/>
        <v>1.7957280220559889E-2</v>
      </c>
      <c r="H122" s="176">
        <f t="shared" ca="1" si="54"/>
        <v>4.7896876732749644E-2</v>
      </c>
      <c r="I122" s="176">
        <f t="shared" ca="1" si="54"/>
        <v>0</v>
      </c>
      <c r="J122" s="176">
        <f t="shared" ca="1" si="54"/>
        <v>2.1631036403108473E-2</v>
      </c>
      <c r="K122" s="176">
        <f t="shared" ca="1" si="54"/>
        <v>0.26616556282640774</v>
      </c>
      <c r="L122" s="176">
        <f t="shared" ca="1" si="54"/>
        <v>0</v>
      </c>
      <c r="M122" s="176">
        <f t="shared" ca="1" si="54"/>
        <v>8.9733555209811008E-2</v>
      </c>
      <c r="N122" s="176">
        <f t="shared" ca="1" si="54"/>
        <v>6.0752897353516105E-2</v>
      </c>
      <c r="O122" s="176">
        <f t="shared" ca="1" si="54"/>
        <v>0</v>
      </c>
      <c r="P122" s="176">
        <f t="shared" ca="1" si="54"/>
        <v>0</v>
      </c>
      <c r="Q122" s="176">
        <f t="shared" ca="1" si="54"/>
        <v>0</v>
      </c>
      <c r="R122" s="176">
        <f t="shared" ca="1" si="54"/>
        <v>4.788634363664291E-2</v>
      </c>
      <c r="S122" s="176">
        <f ca="1">S121*(S119+S120)/(SUMPRODUCT($E$121:$AC$121,$E$119:$AC$119)+SUMPRODUCT($E$121:$AC$121,$E$120:$AC$120))</f>
        <v>0</v>
      </c>
      <c r="T122" s="176">
        <f t="shared" ca="1" si="54"/>
        <v>0.23556438188937123</v>
      </c>
      <c r="U122" s="176">
        <f t="shared" ca="1" si="54"/>
        <v>1.6846494612181264E-2</v>
      </c>
      <c r="V122" s="176">
        <f t="shared" ca="1" si="54"/>
        <v>3.1611218327093032E-3</v>
      </c>
      <c r="W122" s="176">
        <f t="shared" ca="1" si="54"/>
        <v>4.7466939282020367E-3</v>
      </c>
      <c r="X122" s="176">
        <f t="shared" ca="1" si="54"/>
        <v>4.5299358119101719E-2</v>
      </c>
      <c r="Y122" s="176">
        <f t="shared" ca="1" si="54"/>
        <v>2.6948034360464819E-3</v>
      </c>
      <c r="Z122" s="176">
        <f t="shared" ca="1" si="54"/>
        <v>1.4540596479318826E-3</v>
      </c>
      <c r="AA122" s="176">
        <f t="shared" ca="1" si="54"/>
        <v>6.1883673031090322E-4</v>
      </c>
      <c r="AB122" s="176">
        <f t="shared" ca="1" si="54"/>
        <v>3.2173495201030249E-3</v>
      </c>
      <c r="AC122" s="176">
        <f t="shared" ca="1" si="54"/>
        <v>8.966664099782801E-3</v>
      </c>
      <c r="AD122"/>
      <c r="AE122"/>
      <c r="AF122" s="148"/>
      <c r="AG122" s="148"/>
      <c r="AH122" s="148"/>
      <c r="AI122" s="232"/>
      <c r="AJ122" s="148"/>
      <c r="AM122" s="148"/>
      <c r="AO122" s="1" t="s">
        <v>155</v>
      </c>
      <c r="AP122" s="174">
        <f ca="1">AP121-$C$104</f>
        <v>-11077017.048834957</v>
      </c>
      <c r="AQ122" s="17" t="s">
        <v>19</v>
      </c>
      <c r="AR122"/>
      <c r="AS122" s="174">
        <f ca="1">AS121-$C$104</f>
        <v>-6306844.5674915016</v>
      </c>
      <c r="AT122" s="17" t="s">
        <v>19</v>
      </c>
    </row>
    <row r="123" spans="1:76" s="17" customFormat="1" outlineLevel="1">
      <c r="B123" s="1" t="s">
        <v>31</v>
      </c>
      <c r="C123" s="186"/>
      <c r="D123" s="238" t="s">
        <v>145</v>
      </c>
      <c r="E123" s="236">
        <f ca="1">IFERROR(E122*$C$105/(E119+E120*(1-discount_DZK)),0)</f>
        <v>3.4106473392655414</v>
      </c>
      <c r="F123" s="236">
        <f t="shared" ref="F123:AC123" ca="1" si="55">IFERROR(F122*$C$105/(F119+F120*(1-discount_DZK)),0)</f>
        <v>5.8532383641854278</v>
      </c>
      <c r="G123" s="236">
        <f t="shared" ca="1" si="55"/>
        <v>7.181535505933657</v>
      </c>
      <c r="H123" s="236">
        <f t="shared" ca="1" si="55"/>
        <v>3.1666637335885284</v>
      </c>
      <c r="I123" s="236">
        <f t="shared" ca="1" si="55"/>
        <v>0</v>
      </c>
      <c r="J123" s="236">
        <f t="shared" ca="1" si="55"/>
        <v>5.2258808417621108</v>
      </c>
      <c r="K123" s="236">
        <f t="shared" ca="1" si="55"/>
        <v>8.3974741926008551</v>
      </c>
      <c r="L123" s="236">
        <f t="shared" ca="1" si="55"/>
        <v>0</v>
      </c>
      <c r="M123" s="236">
        <f ca="1">IFERROR(M122*$C$105/(M119+M120*(1-discount_DZK)),0)</f>
        <v>2.8542759575169931</v>
      </c>
      <c r="N123" s="236">
        <f t="shared" ca="1" si="55"/>
        <v>3.0706663474001283</v>
      </c>
      <c r="O123" s="236">
        <f ca="1">IFERROR(O122*$C$105/(O119+O120*(1-discount_DZK)),0)</f>
        <v>0</v>
      </c>
      <c r="P123" s="236">
        <f t="shared" ca="1" si="55"/>
        <v>0</v>
      </c>
      <c r="Q123" s="236">
        <f t="shared" ca="1" si="55"/>
        <v>0</v>
      </c>
      <c r="R123" s="236">
        <f t="shared" ca="1" si="55"/>
        <v>4.7168608711572109</v>
      </c>
      <c r="S123" s="236">
        <f t="shared" ca="1" si="55"/>
        <v>0</v>
      </c>
      <c r="T123" s="236">
        <f t="shared" ca="1" si="55"/>
        <v>2.3187306765678226</v>
      </c>
      <c r="U123" s="236">
        <f t="shared" ca="1" si="55"/>
        <v>3.1960658855730841</v>
      </c>
      <c r="V123" s="236">
        <f t="shared" ca="1" si="55"/>
        <v>3.9979899189847519</v>
      </c>
      <c r="W123" s="236">
        <f t="shared" ca="1" si="55"/>
        <v>4.5201612996205149</v>
      </c>
      <c r="X123" s="236">
        <f t="shared" ca="1" si="55"/>
        <v>4.8922456597863739</v>
      </c>
      <c r="Y123" s="236">
        <f t="shared" ca="1" si="55"/>
        <v>5.1446353309832684</v>
      </c>
      <c r="Z123" s="236">
        <f t="shared" ca="1" si="55"/>
        <v>5.5523782157945343</v>
      </c>
      <c r="AA123" s="236">
        <f t="shared" ca="1" si="55"/>
        <v>5.9256519603686151</v>
      </c>
      <c r="AB123" s="236">
        <f t="shared" ca="1" si="55"/>
        <v>6.1628134538862938</v>
      </c>
      <c r="AC123" s="236">
        <f t="shared" ca="1" si="55"/>
        <v>6.6451672409359945</v>
      </c>
      <c r="AD123" s="231">
        <f ca="1">SUMPRODUCT(E119:AC119,E123:AC123)</f>
        <v>184175447.07100317</v>
      </c>
      <c r="AE123" s="231"/>
      <c r="AF123" s="148"/>
      <c r="AG123" s="148"/>
      <c r="AH123" s="148"/>
      <c r="AI123" s="232"/>
      <c r="AJ123" s="233">
        <f ca="1">AJ120+AD125</f>
        <v>281161306</v>
      </c>
      <c r="AK123" s="148" t="s">
        <v>19</v>
      </c>
      <c r="AL123"/>
      <c r="AM123"/>
      <c r="AN123"/>
      <c r="AO123"/>
      <c r="AP123"/>
      <c r="AQ123"/>
    </row>
    <row r="124" spans="1:76" s="17" customFormat="1" outlineLevel="1">
      <c r="B124" s="1" t="s">
        <v>32</v>
      </c>
      <c r="C124" s="186"/>
      <c r="D124" s="239" t="s">
        <v>146</v>
      </c>
      <c r="E124" s="235">
        <v>0</v>
      </c>
      <c r="F124" s="235">
        <v>0</v>
      </c>
      <c r="G124" s="235">
        <f ca="1">(1-discount_DZK)*G123</f>
        <v>6.4633819553402914</v>
      </c>
      <c r="H124" s="235">
        <v>0</v>
      </c>
      <c r="I124" s="235">
        <v>0</v>
      </c>
      <c r="J124" s="235">
        <v>0</v>
      </c>
      <c r="K124" s="235">
        <v>0</v>
      </c>
      <c r="L124" s="235">
        <v>0</v>
      </c>
      <c r="M124" s="235">
        <v>0</v>
      </c>
      <c r="N124" s="235">
        <f ca="1">(1-discount_DZK)*N123</f>
        <v>2.7635997126601155</v>
      </c>
      <c r="O124" s="235">
        <f t="shared" ref="O124:Y124" si="56">IF(O120&gt;0,(1-discount_DZK)*O123,0)</f>
        <v>0</v>
      </c>
      <c r="P124" s="235">
        <f t="shared" si="56"/>
        <v>0</v>
      </c>
      <c r="Q124" s="235">
        <f t="shared" si="56"/>
        <v>0</v>
      </c>
      <c r="R124" s="235">
        <f ca="1">(1-discount_DZK)*R123</f>
        <v>4.24517478404149</v>
      </c>
      <c r="S124" s="235">
        <f t="shared" si="56"/>
        <v>0</v>
      </c>
      <c r="T124" s="235">
        <f t="shared" si="56"/>
        <v>0</v>
      </c>
      <c r="U124" s="235">
        <f t="shared" si="56"/>
        <v>0</v>
      </c>
      <c r="V124" s="235">
        <f t="shared" si="56"/>
        <v>0</v>
      </c>
      <c r="W124" s="235">
        <f t="shared" si="56"/>
        <v>0</v>
      </c>
      <c r="X124" s="235">
        <f t="shared" si="56"/>
        <v>0</v>
      </c>
      <c r="Y124" s="235">
        <f t="shared" si="56"/>
        <v>0</v>
      </c>
      <c r="Z124" s="235">
        <v>0</v>
      </c>
      <c r="AA124" s="235">
        <v>0</v>
      </c>
      <c r="AB124" s="235">
        <v>0</v>
      </c>
      <c r="AC124" s="235">
        <v>0</v>
      </c>
      <c r="AD124" s="231">
        <f ca="1">SUMPRODUCT(E120:AC120,E124:AC124)</f>
        <v>26695532.428996824</v>
      </c>
      <c r="AE124" s="148"/>
      <c r="AF124" s="58"/>
      <c r="AG124" s="148"/>
      <c r="AH124" s="148"/>
      <c r="AI124" s="232"/>
      <c r="AJ124" s="234">
        <f ca="1">AJ123-C102</f>
        <v>0</v>
      </c>
      <c r="AK124" s="148" t="s">
        <v>19</v>
      </c>
      <c r="AL124"/>
      <c r="AM124"/>
      <c r="AN124"/>
      <c r="AO124"/>
      <c r="AP124"/>
      <c r="AQ124"/>
    </row>
    <row r="125" spans="1:76" s="17" customFormat="1" outlineLevel="1">
      <c r="B125" s="186"/>
      <c r="C125" s="186"/>
      <c r="D125" s="1" t="s">
        <v>143</v>
      </c>
      <c r="E125" s="297">
        <f ca="1">(E119*E123+M119*M123)/(E119+M119)</f>
        <v>2.9819953626297977</v>
      </c>
      <c r="F125" s="298">
        <f ca="1">(SUMPRODUCT(F119:G119,F123:G123)+SUMPRODUCT(F120:G120,F124:G124)+L119*L123)/(SUM(F119:G119)+SUM(F120:G120)*(1-discount_DZK)+L119)</f>
        <v>6.0330889987833984</v>
      </c>
      <c r="G125" s="302">
        <f ca="1">F125</f>
        <v>6.0330889987833984</v>
      </c>
      <c r="H125" s="299"/>
      <c r="I125" s="299"/>
      <c r="J125" s="299"/>
      <c r="K125" s="299"/>
      <c r="L125" s="303">
        <f ca="1">G125</f>
        <v>6.0330889987833984</v>
      </c>
      <c r="M125" s="304">
        <f ca="1">(E119*E123+M119*M123)/(E119+M119)</f>
        <v>2.9819953626297977</v>
      </c>
      <c r="N125" s="298">
        <f ca="1">IF(Tariff_SimCalculation!W4=1,(SUMPRODUCT(N119:AC119,N123:AC123)+SUMPRODUCT(N120:AC120,N124:AC124))/(SUM(N119:AC119)+SUM(N120:AC120)*(1-discount_DZK)),(SUMPRODUCT(N119:Y119,N123:Y123)+SUMPRODUCT(N120:Y120,N124:Y124))/(SUM(N119:Y119)+SUM(N120:Y120)*(1-discount_DZK)))</f>
        <v>2.8091945224722998</v>
      </c>
      <c r="O125" s="308">
        <f ca="1">$N125</f>
        <v>2.8091945224722998</v>
      </c>
      <c r="P125" s="308">
        <f t="shared" ref="P125:Y125" ca="1" si="57">$N125</f>
        <v>2.8091945224722998</v>
      </c>
      <c r="Q125" s="308">
        <f t="shared" ca="1" si="57"/>
        <v>2.8091945224722998</v>
      </c>
      <c r="R125" s="308">
        <f t="shared" ca="1" si="57"/>
        <v>2.8091945224722998</v>
      </c>
      <c r="S125" s="308">
        <f t="shared" ca="1" si="57"/>
        <v>2.8091945224722998</v>
      </c>
      <c r="T125" s="308">
        <f t="shared" ca="1" si="57"/>
        <v>2.8091945224722998</v>
      </c>
      <c r="U125" s="308">
        <f t="shared" ca="1" si="57"/>
        <v>2.8091945224722998</v>
      </c>
      <c r="V125" s="308">
        <f t="shared" ca="1" si="57"/>
        <v>2.8091945224722998</v>
      </c>
      <c r="W125" s="308">
        <f t="shared" ca="1" si="57"/>
        <v>2.8091945224722998</v>
      </c>
      <c r="X125" s="308">
        <f t="shared" ca="1" si="57"/>
        <v>2.8091945224722998</v>
      </c>
      <c r="Y125" s="309">
        <f t="shared" ca="1" si="57"/>
        <v>2.8091945224722998</v>
      </c>
      <c r="Z125" s="296">
        <f ca="1">IF(Tariff_SimCalculation!W4=1,(SUMPRODUCT(N119:AC119,N123:AC123)+SUMPRODUCT(N120:AC120,N124:AC124))/(SUM(N119:AC119)+SUM(N120:AC120)*(1-discount_DZK)),SUMPRODUCT(Z119:AC119,Z123:AC123)/SUM(Z119:AC119))</f>
        <v>6.3711662211679174</v>
      </c>
      <c r="AA125" s="305">
        <f ca="1">$Z125</f>
        <v>6.3711662211679174</v>
      </c>
      <c r="AB125" s="305">
        <f ca="1">$Z125</f>
        <v>6.3711662211679174</v>
      </c>
      <c r="AC125" s="306">
        <f ca="1">$Z125</f>
        <v>6.3711662211679174</v>
      </c>
      <c r="AD125" s="231">
        <f ca="1">AD124+AD123</f>
        <v>210870979.5</v>
      </c>
      <c r="AE125" s="148" t="s">
        <v>19</v>
      </c>
      <c r="AF125" s="58"/>
      <c r="AG125" s="148"/>
      <c r="AH125" s="148"/>
      <c r="AI125" s="232"/>
      <c r="AJ125" s="148"/>
      <c r="AK125" s="148"/>
      <c r="AL125"/>
      <c r="AM125"/>
      <c r="AN125"/>
      <c r="AO125"/>
      <c r="AP125"/>
      <c r="AQ125"/>
    </row>
    <row r="126" spans="1:76" s="17" customFormat="1" outlineLevel="1">
      <c r="A126"/>
      <c r="B126" s="5"/>
      <c r="C126"/>
      <c r="D126" s="1" t="s">
        <v>144</v>
      </c>
      <c r="E126" s="235">
        <f>IF(E120&gt;0,E125*(1-discount_DZK),0)</f>
        <v>0</v>
      </c>
      <c r="F126" s="235"/>
      <c r="G126" s="300">
        <f ca="1">G125*(1-discount_DZK)</f>
        <v>5.4297800989050584</v>
      </c>
      <c r="H126" s="299"/>
      <c r="I126" s="299"/>
      <c r="J126" s="299"/>
      <c r="K126" s="299"/>
      <c r="L126" s="235">
        <f>IF(L120&gt;0,L125*(1-discount_DZK),0)</f>
        <v>0</v>
      </c>
      <c r="M126" s="235">
        <f>IF(M120&gt;0,M125*(1-discount_DZK),0)</f>
        <v>0</v>
      </c>
      <c r="N126" s="307">
        <f t="shared" ref="N126:Y126" ca="1" si="58">N125*(1-discount_DZK)</f>
        <v>2.52827507022507</v>
      </c>
      <c r="O126" s="307">
        <f t="shared" ca="1" si="58"/>
        <v>2.52827507022507</v>
      </c>
      <c r="P126" s="307">
        <f t="shared" ca="1" si="58"/>
        <v>2.52827507022507</v>
      </c>
      <c r="Q126" s="307">
        <f t="shared" ca="1" si="58"/>
        <v>2.52827507022507</v>
      </c>
      <c r="R126" s="307">
        <f t="shared" ca="1" si="58"/>
        <v>2.52827507022507</v>
      </c>
      <c r="S126" s="307">
        <f t="shared" ca="1" si="58"/>
        <v>2.52827507022507</v>
      </c>
      <c r="T126" s="307">
        <f t="shared" ca="1" si="58"/>
        <v>2.52827507022507</v>
      </c>
      <c r="U126" s="307">
        <f t="shared" ca="1" si="58"/>
        <v>2.52827507022507</v>
      </c>
      <c r="V126" s="307">
        <f t="shared" ca="1" si="58"/>
        <v>2.52827507022507</v>
      </c>
      <c r="W126" s="307">
        <f t="shared" ca="1" si="58"/>
        <v>2.52827507022507</v>
      </c>
      <c r="X126" s="307">
        <f t="shared" ca="1" si="58"/>
        <v>2.52827507022507</v>
      </c>
      <c r="Y126" s="307">
        <f t="shared" ca="1" si="58"/>
        <v>2.52827507022507</v>
      </c>
      <c r="Z126" s="235">
        <f>IF(Z120&gt;0,Z125*(1-discount_DZK),0)</f>
        <v>0</v>
      </c>
      <c r="AA126" s="235">
        <f>IF(AA120&gt;0,AA125*(1-discount_DZK),0)</f>
        <v>0</v>
      </c>
      <c r="AB126" s="235">
        <f>IF(AB120&gt;0,AB125*(1-discount_DZK),0)</f>
        <v>0</v>
      </c>
      <c r="AC126" s="235">
        <f>IF(AC120&gt;0,AC125*(1-discount_DZK),0)</f>
        <v>0</v>
      </c>
      <c r="AD126"/>
      <c r="AE126"/>
      <c r="AF126" s="148"/>
      <c r="AG126" s="148"/>
      <c r="AH126" s="148"/>
      <c r="AI126"/>
      <c r="AJ126"/>
      <c r="AK126"/>
      <c r="AL126"/>
      <c r="AM126"/>
      <c r="AN126"/>
      <c r="AO126"/>
      <c r="AP126"/>
      <c r="AQ126"/>
    </row>
    <row r="127" spans="1:76" s="17" customFormat="1" outlineLevel="1">
      <c r="A127"/>
      <c r="B127" s="5"/>
      <c r="C127"/>
      <c r="D127" s="1" t="s">
        <v>154</v>
      </c>
      <c r="E127"/>
      <c r="F127"/>
      <c r="G127"/>
      <c r="H127"/>
      <c r="I127"/>
      <c r="J127"/>
      <c r="K127" s="299"/>
      <c r="L127" s="243">
        <f ca="1">L125*(1-discount_storage_exit)</f>
        <v>3.0165444993916992</v>
      </c>
      <c r="M127" s="243">
        <f ca="1">M125*(1-discount_storage_exit)</f>
        <v>1.4909976813148988</v>
      </c>
      <c r="N127"/>
      <c r="O127"/>
      <c r="P127"/>
      <c r="Q127"/>
      <c r="R127"/>
      <c r="S127"/>
      <c r="T127"/>
      <c r="U127"/>
      <c r="V127"/>
      <c r="W127"/>
      <c r="X127"/>
      <c r="Y127"/>
      <c r="Z127"/>
      <c r="AA127"/>
      <c r="AB127"/>
      <c r="AC127"/>
      <c r="AD127"/>
      <c r="AE127"/>
      <c r="AF127"/>
      <c r="AG127"/>
      <c r="AH127"/>
      <c r="AI127"/>
      <c r="AJ127" s="171" t="s">
        <v>163</v>
      </c>
      <c r="AK127" s="252">
        <f ca="1">C102</f>
        <v>281161306</v>
      </c>
      <c r="AL127" s="17" t="s">
        <v>19</v>
      </c>
      <c r="AM127"/>
      <c r="AN127"/>
      <c r="AO127"/>
      <c r="AP127"/>
      <c r="AQ127"/>
    </row>
    <row r="128" spans="1:76" s="17" customFormat="1" outlineLevel="1">
      <c r="A128"/>
      <c r="B128" s="40"/>
      <c r="C128"/>
      <c r="D128" s="239" t="s">
        <v>147</v>
      </c>
      <c r="E128" s="235">
        <f ca="1">IF(E$125&gt;0,IF(E127&gt;0,E127,E125),E123)</f>
        <v>2.9819953626297977</v>
      </c>
      <c r="F128" s="235">
        <f t="shared" ref="F128:K128" ca="1" si="59">IF(F$125&gt;0,IF(F127&gt;0,F127,F125),F123)</f>
        <v>6.0330889987833984</v>
      </c>
      <c r="G128" s="235">
        <f t="shared" ca="1" si="59"/>
        <v>6.0330889987833984</v>
      </c>
      <c r="H128" s="235">
        <f t="shared" ca="1" si="59"/>
        <v>3.1666637335885284</v>
      </c>
      <c r="I128" s="235">
        <f t="shared" ca="1" si="59"/>
        <v>0</v>
      </c>
      <c r="J128" s="235">
        <f t="shared" ca="1" si="59"/>
        <v>5.2258808417621108</v>
      </c>
      <c r="K128" s="235">
        <f t="shared" ca="1" si="59"/>
        <v>8.3974741926008551</v>
      </c>
      <c r="L128" s="235">
        <f ca="1">IF(L$125&gt;0,IF(OR(L127&gt;0,discount_storage_exit=1),L127,L125),L123)</f>
        <v>3.0165444993916992</v>
      </c>
      <c r="M128" s="235">
        <f ca="1">IF(M$125&gt;0,IF(OR(M127&gt;0,discount_storage_exit=1),M127,M125),M123)</f>
        <v>1.4909976813148988</v>
      </c>
      <c r="N128" s="235">
        <f ca="1">IF(N$125&gt;0,IF(N127&gt;0,N127,N125),N123)</f>
        <v>2.8091945224722998</v>
      </c>
      <c r="O128" s="235">
        <f ca="1">IF(O$125&gt;0,IF(O127&gt;0,O127,O125),O123)</f>
        <v>2.8091945224722998</v>
      </c>
      <c r="P128" s="235">
        <f ca="1">IF(P$125&gt;0,IF(P127&gt;0,P127,P125),P123)</f>
        <v>2.8091945224722998</v>
      </c>
      <c r="Q128" s="235">
        <f t="shared" ref="Q128:Y128" ca="1" si="60">IF($N$125&gt;0,$N$125,Q123)</f>
        <v>2.8091945224722998</v>
      </c>
      <c r="R128" s="235">
        <f t="shared" ca="1" si="60"/>
        <v>2.8091945224722998</v>
      </c>
      <c r="S128" s="235">
        <f t="shared" ca="1" si="60"/>
        <v>2.8091945224722998</v>
      </c>
      <c r="T128" s="235">
        <f t="shared" ca="1" si="60"/>
        <v>2.8091945224722998</v>
      </c>
      <c r="U128" s="235">
        <f t="shared" ca="1" si="60"/>
        <v>2.8091945224722998</v>
      </c>
      <c r="V128" s="235">
        <f t="shared" ca="1" si="60"/>
        <v>2.8091945224722998</v>
      </c>
      <c r="W128" s="235">
        <f t="shared" ca="1" si="60"/>
        <v>2.8091945224722998</v>
      </c>
      <c r="X128" s="235">
        <f t="shared" ca="1" si="60"/>
        <v>2.8091945224722998</v>
      </c>
      <c r="Y128" s="235">
        <f t="shared" ca="1" si="60"/>
        <v>2.8091945224722998</v>
      </c>
      <c r="Z128" s="235">
        <f ca="1">IF($Z$125&gt;0,$Z$125,Z123)</f>
        <v>6.3711662211679174</v>
      </c>
      <c r="AA128" s="235">
        <f ca="1">IF($Z$125&gt;0,$Z$125,AA123)</f>
        <v>6.3711662211679174</v>
      </c>
      <c r="AB128" s="235">
        <f ca="1">IF($Z$125&gt;0,$Z$125,AB123)</f>
        <v>6.3711662211679174</v>
      </c>
      <c r="AC128" s="235">
        <f ca="1">IF($Z$125&gt;0,$Z$125,AC123)</f>
        <v>6.3711662211679174</v>
      </c>
      <c r="AD128"/>
      <c r="AE128" s="249" t="s">
        <v>153</v>
      </c>
      <c r="AF128" s="168"/>
      <c r="AG128" t="s">
        <v>205</v>
      </c>
      <c r="AH128"/>
      <c r="AI128"/>
      <c r="AJ128" s="171" t="s">
        <v>166</v>
      </c>
      <c r="AK128" s="250">
        <f ca="1">AE129+AP121</f>
        <v>260199834.62970936</v>
      </c>
      <c r="AL128" s="17" t="s">
        <v>19</v>
      </c>
      <c r="AM128"/>
      <c r="AN128"/>
      <c r="AO128"/>
      <c r="AP128"/>
      <c r="AQ128"/>
    </row>
    <row r="129" spans="1:48" s="17" customFormat="1" outlineLevel="1">
      <c r="A129" s="168"/>
      <c r="B129" s="40"/>
      <c r="C129" s="168"/>
      <c r="D129" s="239" t="s">
        <v>148</v>
      </c>
      <c r="E129" s="311">
        <f t="shared" ref="E129:M129" si="61">IF(E120&gt;0,(1-discount_DZK)*E128,0)</f>
        <v>0</v>
      </c>
      <c r="F129" s="311"/>
      <c r="G129" s="311">
        <f ca="1">(1-discount_DZK)*G128</f>
        <v>5.4297800989050584</v>
      </c>
      <c r="H129" s="311">
        <f t="shared" si="61"/>
        <v>0</v>
      </c>
      <c r="I129" s="311">
        <f t="shared" si="61"/>
        <v>0</v>
      </c>
      <c r="J129" s="311">
        <f t="shared" si="61"/>
        <v>0</v>
      </c>
      <c r="K129" s="311">
        <f t="shared" si="61"/>
        <v>0</v>
      </c>
      <c r="L129" s="311">
        <f t="shared" si="61"/>
        <v>0</v>
      </c>
      <c r="M129" s="312">
        <f t="shared" si="61"/>
        <v>0</v>
      </c>
      <c r="N129" s="311">
        <f ca="1">IF($N$125&gt;0,$N$126,N124)</f>
        <v>2.52827507022507</v>
      </c>
      <c r="O129" s="311">
        <f t="shared" ref="O129:Y129" ca="1" si="62">IF($N$125&gt;0,$N$126,O124)</f>
        <v>2.52827507022507</v>
      </c>
      <c r="P129" s="311">
        <f t="shared" ca="1" si="62"/>
        <v>2.52827507022507</v>
      </c>
      <c r="Q129" s="311">
        <f t="shared" ca="1" si="62"/>
        <v>2.52827507022507</v>
      </c>
      <c r="R129" s="311">
        <f t="shared" ca="1" si="62"/>
        <v>2.52827507022507</v>
      </c>
      <c r="S129" s="311">
        <f t="shared" ca="1" si="62"/>
        <v>2.52827507022507</v>
      </c>
      <c r="T129" s="311">
        <f t="shared" ca="1" si="62"/>
        <v>2.52827507022507</v>
      </c>
      <c r="U129" s="311">
        <f t="shared" ca="1" si="62"/>
        <v>2.52827507022507</v>
      </c>
      <c r="V129" s="311">
        <f t="shared" ca="1" si="62"/>
        <v>2.52827507022507</v>
      </c>
      <c r="W129" s="311">
        <f t="shared" ca="1" si="62"/>
        <v>2.52827507022507</v>
      </c>
      <c r="X129" s="311">
        <f t="shared" ca="1" si="62"/>
        <v>2.52827507022507</v>
      </c>
      <c r="Y129" s="311">
        <f t="shared" ca="1" si="62"/>
        <v>2.52827507022507</v>
      </c>
      <c r="Z129" s="311">
        <f ca="1">IF($N$125&gt;0,$Z$126,Z124)</f>
        <v>0</v>
      </c>
      <c r="AA129" s="311">
        <f ca="1">IF($N$125&gt;0,$Z$126,AA124)</f>
        <v>0</v>
      </c>
      <c r="AB129" s="311">
        <f ca="1">IF($N$125&gt;0,$Z$126,AB124)</f>
        <v>0</v>
      </c>
      <c r="AC129" s="311">
        <f ca="1">IF($N$125&gt;0,$Z$126,AC124)</f>
        <v>0</v>
      </c>
      <c r="AD129" s="168"/>
      <c r="AE129" s="246">
        <f ca="1">SUMPRODUCT(E128:AC128,$E$119:$AC$119)+SUMPRODUCT($E$120:$AC$120,E129:AC129)</f>
        <v>200986525.17854431</v>
      </c>
      <c r="AF129" s="17" t="s">
        <v>19</v>
      </c>
      <c r="AG129" s="5">
        <f ca="1">$C$105</f>
        <v>210870979.5</v>
      </c>
      <c r="AH129"/>
      <c r="AI129"/>
      <c r="AJ129" s="1" t="s">
        <v>156</v>
      </c>
      <c r="AK129" s="5">
        <f ca="1">AK128-AK127</f>
        <v>-20961471.370290637</v>
      </c>
      <c r="AL129" s="17" t="s">
        <v>19</v>
      </c>
      <c r="AM129"/>
      <c r="AN129"/>
      <c r="AO129"/>
      <c r="AP129"/>
      <c r="AQ129"/>
    </row>
    <row r="130" spans="1:48" s="17" customFormat="1" outlineLevel="1">
      <c r="A130" s="168"/>
      <c r="B130" s="301"/>
      <c r="C130" s="168"/>
      <c r="D130" s="168"/>
      <c r="E130" s="168"/>
      <c r="F130" s="168"/>
      <c r="G130" s="168"/>
      <c r="H130" s="168"/>
      <c r="I130" s="168"/>
      <c r="J130" s="168"/>
      <c r="K130" s="168"/>
      <c r="L130" s="168"/>
      <c r="M130" s="168"/>
      <c r="N130" s="168"/>
      <c r="O130" s="168"/>
      <c r="P130" s="168"/>
      <c r="Q130" s="168"/>
      <c r="R130" s="168"/>
      <c r="S130" s="168"/>
      <c r="T130" s="168"/>
      <c r="U130" s="168"/>
      <c r="V130" s="168"/>
      <c r="W130" s="168"/>
      <c r="X130" s="168"/>
      <c r="Y130" s="168"/>
      <c r="Z130" s="168"/>
      <c r="AA130" s="168"/>
      <c r="AB130" s="168"/>
      <c r="AC130" s="168"/>
      <c r="AD130" s="1" t="s">
        <v>149</v>
      </c>
      <c r="AE130" s="174">
        <f ca="1">-$C$105+AE129</f>
        <v>-9884454.3214556873</v>
      </c>
      <c r="AF130" s="17" t="s">
        <v>19</v>
      </c>
      <c r="AG130"/>
      <c r="AM130"/>
      <c r="AN130"/>
      <c r="AO130"/>
      <c r="AP130"/>
      <c r="AQ130"/>
    </row>
    <row r="131" spans="1:48" s="17" customFormat="1" outlineLevel="1">
      <c r="A131" s="168"/>
      <c r="B131" s="301"/>
      <c r="C131" s="168"/>
      <c r="D131" s="1" t="s">
        <v>157</v>
      </c>
      <c r="E131" s="3">
        <v>1</v>
      </c>
      <c r="F131" s="3">
        <v>1</v>
      </c>
      <c r="G131" s="3">
        <v>1</v>
      </c>
      <c r="H131" s="3">
        <v>1</v>
      </c>
      <c r="I131" s="3">
        <v>1</v>
      </c>
      <c r="J131" s="3">
        <v>1</v>
      </c>
      <c r="K131" s="3">
        <v>1</v>
      </c>
      <c r="L131" s="3">
        <v>1</v>
      </c>
      <c r="M131" s="3">
        <v>1</v>
      </c>
      <c r="N131" s="3">
        <v>1</v>
      </c>
      <c r="O131" s="3">
        <v>1</v>
      </c>
      <c r="P131" s="3">
        <v>1</v>
      </c>
      <c r="Q131" s="3">
        <v>1</v>
      </c>
      <c r="R131" s="3">
        <v>1</v>
      </c>
      <c r="S131" s="3">
        <v>1</v>
      </c>
      <c r="T131" s="3">
        <v>1</v>
      </c>
      <c r="U131" s="3">
        <v>1</v>
      </c>
      <c r="V131" s="3">
        <v>1</v>
      </c>
      <c r="W131" s="3">
        <v>1</v>
      </c>
      <c r="X131" s="3">
        <v>1</v>
      </c>
      <c r="Y131" s="3">
        <v>1</v>
      </c>
      <c r="Z131" s="3">
        <v>1</v>
      </c>
      <c r="AA131" s="3">
        <v>1</v>
      </c>
      <c r="AB131" s="3">
        <v>1</v>
      </c>
      <c r="AC131" s="3">
        <v>1</v>
      </c>
      <c r="AD131"/>
      <c r="AE131" s="249" t="s">
        <v>160</v>
      </c>
      <c r="AF131" s="168"/>
      <c r="AG131"/>
      <c r="AM131" s="7" t="s">
        <v>85</v>
      </c>
      <c r="AN131"/>
      <c r="AO131" s="155"/>
      <c r="AP131" s="155"/>
      <c r="AQ131" s="255" t="s">
        <v>164</v>
      </c>
      <c r="AR131" s="277">
        <f ca="1">SUMPRODUCT(E119:$AC$119,$E$128:$AC$128,$E$131:$AC$131)+SUMPRODUCT(E120:$AC$120,$E$129:$AC$129,$E$131:$AC$131) + SUMPRODUCT($AD$109:$AD$118,$AO$109:$AO$118,$AR$109:$AR$118)+ SUMPRODUCT($AE$109:$AE$118,$AP$109:$AP$118,$AR$109:$AR$118)</f>
        <v>260199834.62970936</v>
      </c>
      <c r="AS131" s="155" t="s">
        <v>19</v>
      </c>
    </row>
    <row r="132" spans="1:48" s="17" customFormat="1" outlineLevel="1">
      <c r="A132" s="168"/>
      <c r="B132" s="301"/>
      <c r="C132" s="168"/>
      <c r="D132" s="239" t="s">
        <v>158</v>
      </c>
      <c r="E132" s="468">
        <f ca="1">IF(E$131=1,$AK$137,1)*E128</f>
        <v>3.2222223040075959</v>
      </c>
      <c r="F132" s="468">
        <f t="shared" ref="F132:AB133" ca="1" si="63">IF(F$131=1,$AK$137,1)*F128</f>
        <v>6.5191093780906435</v>
      </c>
      <c r="G132" s="468">
        <f ca="1">IF(G$131=1,$AK$137,1)*G128</f>
        <v>6.5191093780906435</v>
      </c>
      <c r="H132" s="468">
        <f t="shared" ca="1" si="63"/>
        <v>3.4217673976066711</v>
      </c>
      <c r="I132" s="468">
        <f t="shared" ca="1" si="63"/>
        <v>0</v>
      </c>
      <c r="J132" s="468">
        <f t="shared" ca="1" si="63"/>
        <v>5.6468732371071599</v>
      </c>
      <c r="K132" s="468">
        <f t="shared" ca="1" si="63"/>
        <v>9.0739673776232692</v>
      </c>
      <c r="L132" s="468">
        <f ca="1">IF(L$131=1,$AK$137,1)*L128</f>
        <v>3.2595546890453218</v>
      </c>
      <c r="M132" s="468">
        <f t="shared" ca="1" si="63"/>
        <v>1.611111152003798</v>
      </c>
      <c r="N132" s="468">
        <f ca="1">IF(N$131=1,$AK$137,1)*N128</f>
        <v>3.0355007791237676</v>
      </c>
      <c r="O132" s="468">
        <f t="shared" ca="1" si="63"/>
        <v>3.0355007791237676</v>
      </c>
      <c r="P132" s="468">
        <f t="shared" ca="1" si="63"/>
        <v>3.0355007791237676</v>
      </c>
      <c r="Q132" s="468">
        <f t="shared" ca="1" si="63"/>
        <v>3.0355007791237676</v>
      </c>
      <c r="R132" s="468">
        <f t="shared" ca="1" si="63"/>
        <v>3.0355007791237676</v>
      </c>
      <c r="S132" s="468">
        <f t="shared" ca="1" si="63"/>
        <v>3.0355007791237676</v>
      </c>
      <c r="T132" s="468">
        <f t="shared" ca="1" si="63"/>
        <v>3.0355007791237676</v>
      </c>
      <c r="U132" s="468">
        <f t="shared" ca="1" si="63"/>
        <v>3.0355007791237676</v>
      </c>
      <c r="V132" s="468">
        <f t="shared" ca="1" si="63"/>
        <v>3.0355007791237676</v>
      </c>
      <c r="W132" s="468">
        <f t="shared" ca="1" si="63"/>
        <v>3.0355007791237676</v>
      </c>
      <c r="X132" s="468">
        <f t="shared" ca="1" si="63"/>
        <v>3.0355007791237676</v>
      </c>
      <c r="Y132" s="468">
        <f t="shared" ca="1" si="63"/>
        <v>3.0355007791237676</v>
      </c>
      <c r="Z132" s="468">
        <f t="shared" ca="1" si="63"/>
        <v>6.8844218061702218</v>
      </c>
      <c r="AA132" s="468">
        <f t="shared" ca="1" si="63"/>
        <v>6.8844218061702218</v>
      </c>
      <c r="AB132" s="468">
        <f t="shared" ca="1" si="63"/>
        <v>6.8844218061702218</v>
      </c>
      <c r="AC132" s="468">
        <f ca="1">IF(AC$131=1,$AK$137,1)*AC128</f>
        <v>6.8844218061702218</v>
      </c>
      <c r="AD132" s="168"/>
      <c r="AE132" s="246">
        <f ca="1">SUMPRODUCT(E132:AC132,$E$119:$AC$119)+SUMPRODUCT($E$120:$AC$120,E133:AC133)</f>
        <v>217177824.06749153</v>
      </c>
      <c r="AF132" s="17" t="s">
        <v>19</v>
      </c>
      <c r="AG132"/>
      <c r="AH132"/>
      <c r="AI132"/>
      <c r="AJ132" s="253" t="s">
        <v>142</v>
      </c>
      <c r="AK132" s="251">
        <f ca="1">AR133</f>
        <v>1.0805591264119017</v>
      </c>
      <c r="AL132" s="168"/>
      <c r="AM132" s="254">
        <f ca="1">AS121/AK127</f>
        <v>0.22756858987028783</v>
      </c>
      <c r="AN132"/>
      <c r="AO132" s="155"/>
      <c r="AP132" s="155"/>
      <c r="AQ132" s="255" t="s">
        <v>165</v>
      </c>
      <c r="AR132" s="277">
        <f ca="1">AK128-AR131</f>
        <v>0</v>
      </c>
      <c r="AS132" s="155" t="s">
        <v>19</v>
      </c>
    </row>
    <row r="133" spans="1:48" s="17" customFormat="1" outlineLevel="1">
      <c r="A133"/>
      <c r="B133" s="301"/>
      <c r="C133"/>
      <c r="D133" s="239" t="s">
        <v>159</v>
      </c>
      <c r="E133" s="235">
        <f ca="1">IF(E$131=1,$AK$137,1)*E129</f>
        <v>0</v>
      </c>
      <c r="F133" s="235">
        <f ca="1">IF(F$131=1,$AK$137,1)*F129</f>
        <v>0</v>
      </c>
      <c r="G133" s="468">
        <f ca="1">IF(G$131=1,$AK$137,1)*G129</f>
        <v>5.8671984402815793</v>
      </c>
      <c r="H133" s="235">
        <f t="shared" ca="1" si="63"/>
        <v>0</v>
      </c>
      <c r="I133" s="235">
        <f t="shared" ca="1" si="63"/>
        <v>0</v>
      </c>
      <c r="J133" s="235">
        <f t="shared" ca="1" si="63"/>
        <v>0</v>
      </c>
      <c r="K133" s="235">
        <f t="shared" ca="1" si="63"/>
        <v>0</v>
      </c>
      <c r="L133" s="235">
        <f t="shared" ca="1" si="63"/>
        <v>0</v>
      </c>
      <c r="M133" s="235">
        <f t="shared" ca="1" si="63"/>
        <v>0</v>
      </c>
      <c r="N133" s="468">
        <f t="shared" ca="1" si="63"/>
        <v>2.7319507012113911</v>
      </c>
      <c r="O133" s="468">
        <f ca="1">IF(O$131=1,$AK$137,1)*O129</f>
        <v>2.7319507012113911</v>
      </c>
      <c r="P133" s="468">
        <f t="shared" ca="1" si="63"/>
        <v>2.7319507012113911</v>
      </c>
      <c r="Q133" s="468">
        <f t="shared" ca="1" si="63"/>
        <v>2.7319507012113911</v>
      </c>
      <c r="R133" s="468">
        <f t="shared" ca="1" si="63"/>
        <v>2.7319507012113911</v>
      </c>
      <c r="S133" s="468">
        <f t="shared" ca="1" si="63"/>
        <v>2.7319507012113911</v>
      </c>
      <c r="T133" s="468">
        <f t="shared" ca="1" si="63"/>
        <v>2.7319507012113911</v>
      </c>
      <c r="U133" s="468">
        <f t="shared" ca="1" si="63"/>
        <v>2.7319507012113911</v>
      </c>
      <c r="V133" s="468">
        <f t="shared" ca="1" si="63"/>
        <v>2.7319507012113911</v>
      </c>
      <c r="W133" s="468">
        <f t="shared" ca="1" si="63"/>
        <v>2.7319507012113911</v>
      </c>
      <c r="X133" s="468">
        <f t="shared" ca="1" si="63"/>
        <v>2.7319507012113911</v>
      </c>
      <c r="Y133" s="468">
        <f t="shared" ca="1" si="63"/>
        <v>2.7319507012113911</v>
      </c>
      <c r="Z133" s="235">
        <f t="shared" ca="1" si="63"/>
        <v>0</v>
      </c>
      <c r="AA133" s="235">
        <f t="shared" ca="1" si="63"/>
        <v>0</v>
      </c>
      <c r="AB133" s="235">
        <f t="shared" ca="1" si="63"/>
        <v>0</v>
      </c>
      <c r="AC133" s="235">
        <f ca="1">IF(AC$131=1,$AK$137,1)*AC129</f>
        <v>0</v>
      </c>
      <c r="AD133" s="1" t="s">
        <v>149</v>
      </c>
      <c r="AE133" s="174">
        <f ca="1">-$C$105+AE132</f>
        <v>6306844.5674915314</v>
      </c>
      <c r="AF133" s="17" t="s">
        <v>19</v>
      </c>
      <c r="AG133"/>
      <c r="AH133"/>
      <c r="AI133"/>
      <c r="AJ133" s="58" t="s">
        <v>162</v>
      </c>
      <c r="AK133" s="233">
        <f ca="1">AS122+AE133</f>
        <v>2.9802322387695313E-8</v>
      </c>
      <c r="AL133" s="148" t="s">
        <v>19</v>
      </c>
      <c r="AM133"/>
      <c r="AN133"/>
      <c r="AO133"/>
      <c r="AP133"/>
      <c r="AQ133"/>
      <c r="AR133" s="310">
        <f ca="1">(AK127-AR132)/AR131</f>
        <v>1.0805591264119017</v>
      </c>
      <c r="AS133" s="276"/>
    </row>
    <row r="134" spans="1:48" s="17" customFormat="1" outlineLevel="1">
      <c r="B134" s="271"/>
      <c r="D134" s="6"/>
      <c r="E134" s="57"/>
      <c r="F134" s="57"/>
      <c r="G134" s="57"/>
      <c r="H134" s="57"/>
      <c r="I134" s="57"/>
      <c r="J134" s="57"/>
      <c r="K134" s="57"/>
      <c r="L134" s="57"/>
      <c r="M134" s="57"/>
      <c r="N134" s="57"/>
      <c r="O134" s="57"/>
      <c r="P134" s="57"/>
      <c r="Q134" s="57"/>
      <c r="R134" s="57"/>
      <c r="S134" s="57"/>
      <c r="T134" s="57"/>
      <c r="U134" s="57"/>
      <c r="V134" s="57"/>
      <c r="W134" s="57"/>
      <c r="X134" s="57"/>
      <c r="Y134" s="57"/>
      <c r="Z134" s="57"/>
      <c r="AA134" s="57"/>
      <c r="AB134" s="57"/>
      <c r="AC134" s="57"/>
      <c r="AD134" s="274"/>
      <c r="AE134" s="275"/>
      <c r="AF134" s="183"/>
      <c r="AG134" s="183"/>
      <c r="AH134" s="268"/>
      <c r="AI134" s="183"/>
      <c r="AL134" s="267"/>
      <c r="AM134" s="268"/>
      <c r="AN134" s="267"/>
      <c r="AO134" s="269"/>
      <c r="AP134" s="269"/>
      <c r="AQ134" s="173"/>
    </row>
    <row r="135" spans="1:48" s="17" customFormat="1" outlineLevel="1">
      <c r="B135" s="3"/>
      <c r="C135" s="3"/>
      <c r="D135" s="3"/>
      <c r="E135" s="3"/>
      <c r="F135" s="3"/>
      <c r="G135" s="3"/>
      <c r="H135" s="57"/>
      <c r="I135" s="57"/>
      <c r="J135" s="57"/>
      <c r="K135" s="57"/>
      <c r="L135" s="57"/>
      <c r="M135" s="57"/>
      <c r="N135" s="57"/>
      <c r="O135" s="57"/>
      <c r="P135" s="57"/>
      <c r="Q135" s="57"/>
      <c r="R135" s="57"/>
      <c r="S135" s="57"/>
      <c r="T135" s="57"/>
      <c r="U135" s="57"/>
      <c r="V135" s="57"/>
      <c r="W135" s="57"/>
      <c r="X135" s="57"/>
      <c r="Y135" s="57"/>
      <c r="Z135" s="57"/>
      <c r="AA135" s="57"/>
      <c r="AB135" s="57"/>
      <c r="AC135" s="57"/>
      <c r="AD135" s="274"/>
      <c r="AE135" s="275"/>
      <c r="AF135" s="183"/>
      <c r="AG135" s="183"/>
      <c r="AH135" s="268"/>
      <c r="AI135" s="183"/>
      <c r="AJ135" s="278" t="s">
        <v>175</v>
      </c>
      <c r="AK135" s="279" t="b">
        <v>1</v>
      </c>
      <c r="AL135" s="267"/>
      <c r="AM135" s="267"/>
      <c r="AN135" s="267"/>
      <c r="AO135" s="269"/>
      <c r="AP135" s="269"/>
      <c r="AQ135" s="173"/>
    </row>
    <row r="136" spans="1:48" s="17" customFormat="1" outlineLevel="1">
      <c r="B136" s="3"/>
      <c r="C136" s="4"/>
      <c r="D136" s="4"/>
      <c r="E136" s="17">
        <v>1.4552539892460783</v>
      </c>
      <c r="F136" s="4">
        <v>2.8875190196317417</v>
      </c>
      <c r="G136">
        <v>2.8875190196317417</v>
      </c>
      <c r="H136" s="12">
        <v>1.4842734081471474</v>
      </c>
      <c r="I136" s="12">
        <v>0</v>
      </c>
      <c r="J136" s="6">
        <v>2.5400643475624087</v>
      </c>
      <c r="K136" s="6">
        <v>4.0543971025219712</v>
      </c>
      <c r="L136" s="6">
        <v>2.8875190196317417</v>
      </c>
      <c r="M136" s="266">
        <v>1.4552539892460783</v>
      </c>
      <c r="N136" s="6">
        <v>1.3109671287856193</v>
      </c>
      <c r="O136" s="175">
        <v>1.3109671287856193</v>
      </c>
      <c r="P136" s="183">
        <v>1.3109671287856193</v>
      </c>
      <c r="Q136" s="175">
        <v>1.3109671287856193</v>
      </c>
      <c r="R136" s="6">
        <v>1.3109671287856193</v>
      </c>
      <c r="S136" s="6">
        <v>1.3109671287856193</v>
      </c>
      <c r="T136" s="183">
        <v>1.3109671287856193</v>
      </c>
      <c r="U136" s="175">
        <v>1.3109671287856193</v>
      </c>
      <c r="V136" s="6">
        <v>1.3109671287856193</v>
      </c>
      <c r="W136" s="6">
        <v>1.3109671287856193</v>
      </c>
      <c r="X136" s="183">
        <v>1.3109671287856193</v>
      </c>
      <c r="Y136" s="183">
        <v>1.3109671287856193</v>
      </c>
      <c r="Z136" s="268">
        <v>3.133369251341843</v>
      </c>
      <c r="AA136" s="183">
        <v>3.133369251341843</v>
      </c>
      <c r="AB136" s="183">
        <v>3.133369251341843</v>
      </c>
      <c r="AC136" s="268">
        <v>3.133369251341843</v>
      </c>
      <c r="AD136" s="267"/>
      <c r="AE136" s="268"/>
      <c r="AF136" s="183"/>
      <c r="AG136" s="183"/>
      <c r="AH136" s="268"/>
      <c r="AI136" s="183"/>
      <c r="AJ136" s="253" t="s">
        <v>173</v>
      </c>
      <c r="AK136" s="251">
        <f ca="1">IF($AK$135,AK132,($AJ$120-SUMPRODUCT(AD109:AD118*AO109:AO118*(AR109:AR118=0))-SUMPRODUCT(AE109:AE118*AP109:AP118*(AR109:AR118=0)))/(SUMPRODUCT(AD109:AD118,AO109:AO118,AR109:AR118)+SUMPRODUCT(AE109:AE118,AP109:AP118,AR109:AR118)))</f>
        <v>1.0805591264119017</v>
      </c>
      <c r="AL136" s="267"/>
      <c r="AM136" s="11"/>
      <c r="AN136" s="267"/>
      <c r="AO136" s="269"/>
      <c r="AP136" s="269"/>
      <c r="AQ136" s="173"/>
    </row>
    <row r="137" spans="1:48" s="17" customFormat="1" outlineLevel="1">
      <c r="B137" s="3"/>
      <c r="D137" s="496"/>
      <c r="E137" s="496">
        <v>0</v>
      </c>
      <c r="F137" s="4">
        <v>0</v>
      </c>
      <c r="G137">
        <v>2.5987671176685678</v>
      </c>
      <c r="H137" s="12">
        <v>0</v>
      </c>
      <c r="I137" s="12">
        <v>0</v>
      </c>
      <c r="J137" s="6">
        <v>0</v>
      </c>
      <c r="K137" s="6">
        <v>0</v>
      </c>
      <c r="L137" s="6">
        <v>0</v>
      </c>
      <c r="M137" s="266">
        <v>0</v>
      </c>
      <c r="N137" s="6">
        <v>1.1798704159070574</v>
      </c>
      <c r="O137" s="175">
        <v>1.1798704159070574</v>
      </c>
      <c r="P137" s="183">
        <v>1.1798704159070574</v>
      </c>
      <c r="Q137" s="175">
        <v>1.1798704159070574</v>
      </c>
      <c r="R137" s="6">
        <v>1.1798704159070574</v>
      </c>
      <c r="S137" s="6">
        <v>1.1798704159070574</v>
      </c>
      <c r="T137" s="183">
        <v>1.1798704159070574</v>
      </c>
      <c r="U137" s="175">
        <v>1.1798704159070574</v>
      </c>
      <c r="V137" s="6">
        <v>1.1798704159070574</v>
      </c>
      <c r="W137" s="6">
        <v>1.1798704159070574</v>
      </c>
      <c r="X137" s="183">
        <v>1.1798704159070574</v>
      </c>
      <c r="Y137" s="183">
        <v>1.1798704159070574</v>
      </c>
      <c r="Z137" s="268">
        <v>0</v>
      </c>
      <c r="AA137" s="183">
        <v>0</v>
      </c>
      <c r="AB137" s="183">
        <v>0</v>
      </c>
      <c r="AC137" s="268">
        <v>0</v>
      </c>
      <c r="AD137" s="267"/>
      <c r="AE137" s="268"/>
      <c r="AF137" s="183"/>
      <c r="AG137" s="183"/>
      <c r="AH137" s="268"/>
      <c r="AI137" s="183"/>
      <c r="AJ137" s="253" t="s">
        <v>174</v>
      </c>
      <c r="AK137" s="251">
        <f ca="1">IF($AK$135,AK132,($C$105-SUMPRODUCT(E119:AC119*E128:AC128*(E131:AC131=0))-SUMPRODUCT(E120:AC120*E129:AC129*(E131:AC131=0)))/(SUMPRODUCT(E131:AC131,E128:AC128,E119:AC119)+SUMPRODUCT(E131:AC131,E129:AC129,E120:AC120)))</f>
        <v>1.0805591264119017</v>
      </c>
      <c r="AL137" s="267"/>
      <c r="AM137" s="11"/>
      <c r="AN137" s="267"/>
      <c r="AO137" s="269"/>
      <c r="AP137" s="269"/>
      <c r="AQ137" s="173"/>
    </row>
    <row r="138" spans="1:48" s="17" customFormat="1" ht="14.45" customHeight="1" outlineLevel="1">
      <c r="B138" s="3"/>
      <c r="C138" s="4"/>
      <c r="D138" s="4"/>
      <c r="E138" s="146"/>
      <c r="F138" s="4"/>
      <c r="G138"/>
      <c r="H138" s="12"/>
      <c r="I138" s="12"/>
      <c r="J138" s="6"/>
      <c r="K138" s="6"/>
      <c r="L138" s="6"/>
      <c r="M138" s="266"/>
      <c r="N138" s="6"/>
      <c r="O138" s="175"/>
      <c r="P138" s="183"/>
      <c r="Q138" s="175"/>
      <c r="R138" s="6"/>
      <c r="S138" s="6"/>
      <c r="T138" s="183"/>
      <c r="U138" s="175"/>
      <c r="V138" s="6"/>
      <c r="W138" s="6"/>
      <c r="X138" s="183"/>
      <c r="Y138" s="183"/>
      <c r="Z138" s="268"/>
      <c r="AA138" s="183"/>
      <c r="AB138" s="183"/>
      <c r="AC138" s="268"/>
      <c r="AD138" s="267"/>
      <c r="AE138" s="268"/>
      <c r="AF138" s="183"/>
      <c r="AG138" s="183"/>
      <c r="AH138" s="268"/>
      <c r="AI138" s="183"/>
      <c r="AJ138" s="183"/>
      <c r="AK138" s="268"/>
      <c r="AL138" s="267"/>
      <c r="AM138" s="11"/>
      <c r="AN138" s="267"/>
      <c r="AO138" s="269"/>
      <c r="AP138" s="269"/>
      <c r="AQ138" s="173"/>
    </row>
    <row r="140" spans="1:48" ht="18.75">
      <c r="A140" s="60" t="s">
        <v>301</v>
      </c>
      <c r="B140" s="60"/>
      <c r="C140" s="60"/>
      <c r="D140" s="60"/>
      <c r="E140" s="60"/>
      <c r="F140" s="60"/>
      <c r="G140" s="60"/>
      <c r="H140" s="61"/>
      <c r="I140" s="61"/>
      <c r="J140" s="60"/>
      <c r="K140" s="60"/>
      <c r="L140" s="60"/>
      <c r="M140" s="60"/>
      <c r="N140" s="60"/>
      <c r="O140" s="60"/>
      <c r="P140" s="60"/>
      <c r="Q140" s="60"/>
      <c r="R140" s="60"/>
      <c r="S140" s="60"/>
      <c r="T140" s="60"/>
      <c r="U140" s="60"/>
      <c r="V140" s="60"/>
      <c r="W140" s="60"/>
      <c r="X140" s="60"/>
      <c r="Y140" s="60"/>
      <c r="Z140" s="60"/>
      <c r="AA140" s="60"/>
      <c r="AB140" s="60"/>
      <c r="AC140" s="60"/>
      <c r="AD140" s="60"/>
      <c r="AE140" s="60"/>
      <c r="AF140" s="60"/>
      <c r="AG140" s="60"/>
      <c r="AH140" s="60"/>
      <c r="AI140" s="60"/>
      <c r="AJ140" s="60"/>
      <c r="AK140" s="60"/>
      <c r="AL140" s="60"/>
      <c r="AM140" s="60"/>
      <c r="AN140" s="60"/>
      <c r="AO140" s="60"/>
      <c r="AP140" s="60"/>
      <c r="AQ140" s="60"/>
      <c r="AR140" s="60"/>
      <c r="AS140" s="60"/>
      <c r="AT140" s="60"/>
      <c r="AU140" s="60"/>
      <c r="AV140" s="60"/>
    </row>
    <row r="141" spans="1:48">
      <c r="A141" s="1" t="s">
        <v>223</v>
      </c>
      <c r="B141" s="187" t="s">
        <v>206</v>
      </c>
      <c r="H141"/>
      <c r="I141"/>
    </row>
    <row r="142" spans="1:48">
      <c r="E142" s="324" t="s">
        <v>82</v>
      </c>
      <c r="F142" s="324" t="s">
        <v>82</v>
      </c>
      <c r="G142" s="324" t="s">
        <v>82</v>
      </c>
      <c r="H142" s="324" t="s">
        <v>82</v>
      </c>
      <c r="I142" s="324" t="s">
        <v>82</v>
      </c>
      <c r="J142" s="324" t="s">
        <v>82</v>
      </c>
      <c r="K142" s="324" t="s">
        <v>82</v>
      </c>
      <c r="L142" s="325" t="s">
        <v>83</v>
      </c>
      <c r="M142" s="325" t="s">
        <v>82</v>
      </c>
      <c r="N142" s="316" t="s">
        <v>83</v>
      </c>
      <c r="O142" s="316" t="s">
        <v>83</v>
      </c>
      <c r="P142" s="316" t="s">
        <v>83</v>
      </c>
      <c r="Q142" s="316" t="s">
        <v>83</v>
      </c>
      <c r="R142" s="316" t="s">
        <v>83</v>
      </c>
      <c r="S142" s="316" t="s">
        <v>83</v>
      </c>
      <c r="T142" s="316" t="s">
        <v>83</v>
      </c>
      <c r="U142" s="316" t="s">
        <v>83</v>
      </c>
      <c r="V142" s="316" t="s">
        <v>83</v>
      </c>
      <c r="W142" s="316" t="s">
        <v>83</v>
      </c>
      <c r="X142" s="316" t="s">
        <v>83</v>
      </c>
      <c r="Y142" s="316" t="s">
        <v>83</v>
      </c>
      <c r="Z142" s="316" t="s">
        <v>83</v>
      </c>
      <c r="AA142" s="316" t="s">
        <v>83</v>
      </c>
      <c r="AB142" s="316" t="s">
        <v>83</v>
      </c>
      <c r="AC142" s="316" t="s">
        <v>83</v>
      </c>
    </row>
    <row r="143" spans="1:48">
      <c r="D143" s="187"/>
      <c r="E143" s="267" t="str">
        <f t="shared" ref="E143:AE155" si="64">E107</f>
        <v>Exit</v>
      </c>
      <c r="F143" s="267" t="str">
        <f t="shared" si="64"/>
        <v>Exit</v>
      </c>
      <c r="G143" s="267" t="str">
        <f t="shared" si="64"/>
        <v>Exit</v>
      </c>
      <c r="H143" s="267" t="str">
        <f t="shared" si="64"/>
        <v>Exit</v>
      </c>
      <c r="I143" s="267" t="str">
        <f t="shared" si="64"/>
        <v>Exit</v>
      </c>
      <c r="J143" s="267" t="str">
        <f t="shared" si="64"/>
        <v>Exit</v>
      </c>
      <c r="K143" s="267" t="str">
        <f t="shared" si="64"/>
        <v>Exit</v>
      </c>
      <c r="L143" s="267" t="str">
        <f t="shared" si="64"/>
        <v>Exit</v>
      </c>
      <c r="M143" s="267" t="str">
        <f t="shared" si="64"/>
        <v>Exit</v>
      </c>
      <c r="N143" s="267" t="str">
        <f t="shared" si="64"/>
        <v>Exit</v>
      </c>
      <c r="O143" s="267" t="str">
        <f t="shared" si="64"/>
        <v>Exit</v>
      </c>
      <c r="P143" s="267" t="str">
        <f t="shared" si="64"/>
        <v>Exit</v>
      </c>
      <c r="Q143" s="267" t="str">
        <f t="shared" si="64"/>
        <v>Exit</v>
      </c>
      <c r="R143" s="267" t="str">
        <f t="shared" si="64"/>
        <v>Exit</v>
      </c>
      <c r="S143" s="267" t="str">
        <f t="shared" si="64"/>
        <v>Exit</v>
      </c>
      <c r="T143" s="267" t="str">
        <f t="shared" si="64"/>
        <v>Exit</v>
      </c>
      <c r="U143" s="267" t="str">
        <f t="shared" si="64"/>
        <v>Exit</v>
      </c>
      <c r="V143" s="267" t="str">
        <f t="shared" si="64"/>
        <v>Exit</v>
      </c>
      <c r="W143" s="267" t="str">
        <f t="shared" si="64"/>
        <v>Exit</v>
      </c>
      <c r="X143" s="267" t="str">
        <f t="shared" si="64"/>
        <v>Exit</v>
      </c>
      <c r="Y143" s="267" t="str">
        <f t="shared" si="64"/>
        <v>Exit</v>
      </c>
      <c r="Z143" s="267" t="str">
        <f t="shared" si="64"/>
        <v>Exit</v>
      </c>
      <c r="AA143" s="267" t="str">
        <f t="shared" si="64"/>
        <v>Exit</v>
      </c>
      <c r="AB143" s="267" t="str">
        <f t="shared" si="64"/>
        <v>Exit</v>
      </c>
      <c r="AC143" s="267" t="str">
        <f t="shared" si="64"/>
        <v>Exit</v>
      </c>
      <c r="AD143" s="267" t="str">
        <f t="shared" si="64"/>
        <v>FZK</v>
      </c>
      <c r="AE143" s="267" t="str">
        <f t="shared" si="64"/>
        <v>DZK</v>
      </c>
      <c r="AR143" s="3"/>
    </row>
    <row r="144" spans="1:48" ht="62.25" customHeight="1" thickBot="1">
      <c r="B144" s="17"/>
      <c r="D144" s="187"/>
      <c r="E144" s="204" t="str">
        <f t="shared" si="64"/>
        <v>Baumgarten</v>
      </c>
      <c r="F144" s="204" t="str">
        <f t="shared" si="64"/>
        <v>Oberkappel</v>
      </c>
      <c r="G144" s="204" t="str">
        <f t="shared" si="64"/>
        <v>Überackern</v>
      </c>
      <c r="H144" s="204" t="str">
        <f t="shared" si="64"/>
        <v>Mosonmagyarovar</v>
      </c>
      <c r="I144" s="204" t="str">
        <f t="shared" si="64"/>
        <v>Petrzalka</v>
      </c>
      <c r="J144" s="204" t="str">
        <f t="shared" si="64"/>
        <v>Murfeld</v>
      </c>
      <c r="K144" s="204" t="str">
        <f t="shared" si="64"/>
        <v>Arnoldstein</v>
      </c>
      <c r="L144" s="204" t="str">
        <f t="shared" si="64"/>
        <v>Storage 7-fields</v>
      </c>
      <c r="M144" s="204" t="str">
        <f t="shared" si="64"/>
        <v>Storage MAB</v>
      </c>
      <c r="N144" s="204" t="str">
        <f t="shared" si="64"/>
        <v>Auersthal</v>
      </c>
      <c r="O144" s="204" t="str">
        <f t="shared" si="64"/>
        <v>Kirchberg</v>
      </c>
      <c r="P144" s="204" t="str">
        <f t="shared" si="64"/>
        <v>Gr. Göttfritz</v>
      </c>
      <c r="Q144" s="204" t="str">
        <f t="shared" si="64"/>
        <v>Rainbach</v>
      </c>
      <c r="R144" s="204" t="str">
        <f t="shared" si="64"/>
        <v>Bad Leonfelden</v>
      </c>
      <c r="S144" s="204" t="str">
        <f t="shared" si="64"/>
        <v>Arnreith</v>
      </c>
      <c r="T144" s="204" t="str">
        <f t="shared" si="64"/>
        <v>Baumgarten-PVS2</v>
      </c>
      <c r="U144" s="204" t="str">
        <f t="shared" si="64"/>
        <v>Eggendorf</v>
      </c>
      <c r="V144" s="204" t="str">
        <f t="shared" si="64"/>
        <v>Grafendorf</v>
      </c>
      <c r="W144" s="204" t="str">
        <f t="shared" si="64"/>
        <v>St. Margarethen</v>
      </c>
      <c r="X144" s="204" t="str">
        <f t="shared" si="64"/>
        <v>Weitendorf</v>
      </c>
      <c r="Y144" s="204" t="str">
        <f t="shared" si="64"/>
        <v>Sulmeck-Greith</v>
      </c>
      <c r="Z144" s="204" t="str">
        <f t="shared" si="64"/>
        <v>Ettendorf</v>
      </c>
      <c r="AA144" s="204" t="str">
        <f t="shared" si="64"/>
        <v>Waisenberg</v>
      </c>
      <c r="AB144" s="204" t="str">
        <f t="shared" si="64"/>
        <v>Ebenthal</v>
      </c>
      <c r="AC144" s="204" t="str">
        <f t="shared" si="64"/>
        <v>Finkenstein</v>
      </c>
      <c r="AD144" s="185" t="str">
        <f t="shared" si="64"/>
        <v>forecasted capacity (kWh/h)</v>
      </c>
      <c r="AE144" s="185" t="str">
        <f t="shared" si="64"/>
        <v>forecasted capacity (kWh/h)</v>
      </c>
      <c r="AF144" s="322" t="s">
        <v>209</v>
      </c>
      <c r="AG144" s="295" t="s">
        <v>207</v>
      </c>
      <c r="AH144" s="20" t="s">
        <v>78</v>
      </c>
      <c r="AI144" s="20" t="s">
        <v>79</v>
      </c>
      <c r="AJ144" s="20" t="s">
        <v>76</v>
      </c>
      <c r="AK144" s="20" t="s">
        <v>77</v>
      </c>
      <c r="AL144" s="20" t="s">
        <v>213</v>
      </c>
      <c r="AM144" s="20" t="s">
        <v>214</v>
      </c>
      <c r="AO144" s="322" t="s">
        <v>215</v>
      </c>
      <c r="AP144" s="322" t="s">
        <v>221</v>
      </c>
      <c r="AQ144" s="322" t="s">
        <v>222</v>
      </c>
    </row>
    <row r="145" spans="2:43" ht="15.75" thickBot="1">
      <c r="B145" s="188" t="str">
        <f t="shared" ref="B145:B156" si="65">B109</f>
        <v>Entry</v>
      </c>
      <c r="D145" s="188" t="str">
        <f t="shared" ref="D145:S156" si="66">D109</f>
        <v>Baumgarten</v>
      </c>
      <c r="E145" s="190">
        <f t="shared" si="66"/>
        <v>0</v>
      </c>
      <c r="F145" s="190">
        <f t="shared" si="64"/>
        <v>245</v>
      </c>
      <c r="G145" s="190">
        <f t="shared" si="64"/>
        <v>340</v>
      </c>
      <c r="H145" s="190">
        <f t="shared" si="64"/>
        <v>49</v>
      </c>
      <c r="I145" s="190">
        <f t="shared" si="64"/>
        <v>39</v>
      </c>
      <c r="J145" s="190">
        <f t="shared" si="64"/>
        <v>241</v>
      </c>
      <c r="K145" s="190">
        <f t="shared" si="64"/>
        <v>384.59447</v>
      </c>
      <c r="L145" s="190">
        <f t="shared" si="64"/>
        <v>337</v>
      </c>
      <c r="M145" s="190">
        <f t="shared" si="64"/>
        <v>5</v>
      </c>
      <c r="N145" s="190">
        <f t="shared" si="64"/>
        <v>27</v>
      </c>
      <c r="O145" s="190">
        <f t="shared" si="64"/>
        <v>81</v>
      </c>
      <c r="P145" s="190">
        <f t="shared" si="64"/>
        <v>136</v>
      </c>
      <c r="Q145" s="190">
        <f t="shared" si="64"/>
        <v>188</v>
      </c>
      <c r="R145" s="190">
        <f t="shared" si="64"/>
        <v>205</v>
      </c>
      <c r="S145" s="190">
        <f t="shared" si="64"/>
        <v>225</v>
      </c>
      <c r="T145" s="190">
        <f t="shared" si="64"/>
        <v>3.05</v>
      </c>
      <c r="U145" s="190">
        <f t="shared" si="64"/>
        <v>74.84778</v>
      </c>
      <c r="V145" s="190">
        <f t="shared" si="64"/>
        <v>140.48994999999999</v>
      </c>
      <c r="W145" s="190">
        <f t="shared" si="64"/>
        <v>183.23273</v>
      </c>
      <c r="X145" s="190">
        <f t="shared" si="64"/>
        <v>213.69001</v>
      </c>
      <c r="Y145" s="190">
        <f t="shared" si="64"/>
        <v>234.34958</v>
      </c>
      <c r="Z145" s="190">
        <f t="shared" si="64"/>
        <v>271.73602</v>
      </c>
      <c r="AA145" s="190">
        <f t="shared" si="64"/>
        <v>303.39652000000001</v>
      </c>
      <c r="AB145" s="190">
        <f t="shared" si="64"/>
        <v>323.51218999999998</v>
      </c>
      <c r="AC145" s="190">
        <f t="shared" si="64"/>
        <v>364.42469</v>
      </c>
      <c r="AD145" s="451">
        <f t="shared" ca="1" si="64"/>
        <v>11606664</v>
      </c>
      <c r="AE145" s="272">
        <f t="shared" si="64"/>
        <v>0</v>
      </c>
      <c r="AF145" s="47">
        <f ca="1">SUM(AD145:AE145)/1000</f>
        <v>11606.664000000001</v>
      </c>
      <c r="AG145" s="158">
        <f t="shared" ref="AG145:AG154" ca="1" si="67">AF109</f>
        <v>93.183792671463024</v>
      </c>
      <c r="AH145" s="180" cm="1">
        <f t="array" aca="1" ref="AH145" ca="1">(SUMPRODUCT(E145:AC145*$E$155:$AC$155*($E$142:$AC$142="Intra"))+SUMPRODUCT(E145:AC145*$E$156:$AC$156*AZ109:BX109*($E$142:$AC$142="Intra")))/(SUMPRODUCT($E$155:$AC$155*(E109:AC109&lt;&gt;0)*($E$142:$AC$142="Intra"))+SUMPRODUCT($E$156:$AC$156*AZ109:BX109*(E109:AC109&lt;&gt;0)*($E$142:$AC$142="Intra")))</f>
        <v>31.296787460123472</v>
      </c>
      <c r="AI145" s="180" cm="1">
        <f t="array" aca="1" ref="AI145" ca="1">(SUMPRODUCT(E145:AC145*$E$155:$AC$155*($E$142:$AC$142="Cross"))+SUMPRODUCT(E145:AC145*$E$156:$AC$156*AZ109:BX109*($E$142:$AC$142="Cross")))/(SUMPRODUCT($E$155:$AC$155*(E145:AC145&lt;&gt;0)*($E$142:$AC$142="Cross"))+SUMPRODUCT($E$156:$AC$156*AZ109:BX109*(E109:AC109&lt;&gt;0)*($E$142:$AC$142="Cross")))</f>
        <v>182.96882483969438</v>
      </c>
      <c r="AJ145" s="323">
        <f ca="1">AF145-AK145</f>
        <v>4385.6552166263255</v>
      </c>
      <c r="AK145" s="323">
        <f ca="1">AF145/SUM($AF$145:$AF$154)*SUMIFS($E$157:$AC$157,$E$142:$AC$142,"Cross")</f>
        <v>7221.0087833736752</v>
      </c>
      <c r="AL145" s="323">
        <f ca="1">AH145*AJ145</f>
        <v>137256.91918813589</v>
      </c>
      <c r="AM145" s="323">
        <f ca="1">AI145*AK145</f>
        <v>1321219.4912509925</v>
      </c>
      <c r="AO145" s="66">
        <f t="shared" ref="AO145:AO154" ca="1" si="68">IFERROR(SUMPRODUCT(AP145:AQ145,AD145:AE145)/SUM(AD145:AE145),0)</f>
        <v>2.7736328397447485</v>
      </c>
      <c r="AP145" s="65">
        <f ca="1">SUMIFS($J$53:$J$98,$F$53:$F$98,D145,$D$53:$D$98,$B145,$E$53:$E$98,"FZK")/2</f>
        <v>2.7736328397447485</v>
      </c>
      <c r="AQ145" s="65">
        <f>SUMIFS($J$53:$J$98,$F$53:$F$98,D145,$D$53:$D$98,$B145,$E$53:$E$98,"DZK")/2</f>
        <v>0</v>
      </c>
    </row>
    <row r="146" spans="2:43" ht="15.75" thickBot="1">
      <c r="B146" s="188" t="str">
        <f t="shared" si="65"/>
        <v>Entry</v>
      </c>
      <c r="D146" s="188" t="str">
        <f t="shared" si="66"/>
        <v>Oberkappel</v>
      </c>
      <c r="E146" s="190">
        <f t="shared" si="66"/>
        <v>245</v>
      </c>
      <c r="F146" s="190">
        <f t="shared" si="64"/>
        <v>0</v>
      </c>
      <c r="G146" s="190">
        <f t="shared" si="64"/>
        <v>95</v>
      </c>
      <c r="H146" s="190">
        <f t="shared" si="64"/>
        <v>288</v>
      </c>
      <c r="I146" s="190">
        <f t="shared" si="64"/>
        <v>278</v>
      </c>
      <c r="J146" s="190">
        <f t="shared" si="64"/>
        <v>480</v>
      </c>
      <c r="K146" s="190">
        <f t="shared" si="64"/>
        <v>623.59447</v>
      </c>
      <c r="L146" s="190">
        <f t="shared" si="64"/>
        <v>92</v>
      </c>
      <c r="M146" s="190">
        <f t="shared" si="64"/>
        <v>244</v>
      </c>
      <c r="N146" s="190">
        <f t="shared" si="64"/>
        <v>218</v>
      </c>
      <c r="O146" s="190">
        <f t="shared" si="64"/>
        <v>164</v>
      </c>
      <c r="P146" s="190">
        <f t="shared" si="64"/>
        <v>109</v>
      </c>
      <c r="Q146" s="190">
        <f t="shared" si="64"/>
        <v>57</v>
      </c>
      <c r="R146" s="190">
        <f t="shared" si="64"/>
        <v>40</v>
      </c>
      <c r="S146" s="190">
        <f t="shared" si="64"/>
        <v>20</v>
      </c>
      <c r="T146" s="190">
        <f t="shared" si="64"/>
        <v>241.95</v>
      </c>
      <c r="U146" s="190">
        <f t="shared" si="64"/>
        <v>313.84778</v>
      </c>
      <c r="V146" s="190">
        <f t="shared" si="64"/>
        <v>379.48995000000002</v>
      </c>
      <c r="W146" s="190">
        <f t="shared" si="64"/>
        <v>422.23273</v>
      </c>
      <c r="X146" s="190">
        <f t="shared" si="64"/>
        <v>452.69001000000003</v>
      </c>
      <c r="Y146" s="190">
        <f t="shared" si="64"/>
        <v>473.34958</v>
      </c>
      <c r="Z146" s="190">
        <f t="shared" si="64"/>
        <v>510.73602</v>
      </c>
      <c r="AA146" s="190">
        <f t="shared" si="64"/>
        <v>542.39652000000001</v>
      </c>
      <c r="AB146" s="190">
        <f t="shared" si="64"/>
        <v>562.51218999999992</v>
      </c>
      <c r="AC146" s="190">
        <f t="shared" si="64"/>
        <v>603.42469000000006</v>
      </c>
      <c r="AD146" s="452">
        <f t="shared" ca="1" si="64"/>
        <v>7618999</v>
      </c>
      <c r="AE146" s="273">
        <f t="shared" si="64"/>
        <v>0</v>
      </c>
      <c r="AF146" s="47">
        <f t="shared" ref="AF146:AF154" ca="1" si="69">SUM(AD146:AE146)/1000</f>
        <v>7618.9989999999998</v>
      </c>
      <c r="AG146" s="158">
        <f t="shared" ca="1" si="67"/>
        <v>306.79948816784452</v>
      </c>
      <c r="AH146" s="180" cm="1">
        <f t="array" aca="1" ref="AH146" ca="1">(SUMPRODUCT(E146:AC146*$E$155:$AC$155*($E$142:$AC$142="Intra"))+SUMPRODUCT(E146:AC146*$E$156:$AC$156*AZ110:BX110*($E$142:$AC$142="Intra")))/(SUMPRODUCT($E$155:$AC$155*(E110:AC110&lt;&gt;0)*($E$142:$AC$142="Intra"))+SUMPRODUCT($E$156:$AC$156*AZ110:BX110*(E110:AC110&lt;&gt;0)*($E$142:$AC$142="Intra")))</f>
        <v>251.25589095012279</v>
      </c>
      <c r="AI146" s="180" cm="1">
        <f t="array" aca="1" ref="AI146" ca="1">(SUMPRODUCT(E146:AC146*$E$155:$AC$155*($E$142:$AC$142="Cross"))+SUMPRODUCT(E146:AC146*$E$156:$AC$156*AZ110:BX110*($E$142:$AC$142="Cross")))/(SUMPRODUCT($E$155:$AC$155*(E146:AC146&lt;&gt;0)*($E$142:$AC$142="Cross"))+SUMPRODUCT($E$156:$AC$156*AZ110:BX110*(E110:AC110&lt;&gt;0)*($E$142:$AC$142="Cross")))</f>
        <v>384.35072472713642</v>
      </c>
      <c r="AJ146" s="323">
        <f t="shared" ref="AJ146" ca="1" si="70">AF146-AK146</f>
        <v>2878.8894646920735</v>
      </c>
      <c r="AK146" s="323">
        <f ca="1">AF146/SUM($AF$145:$AF$154)*SUMIFS($E$157:$AC$157,$E$142:$AC$142,"Cross")</f>
        <v>4740.1095353079263</v>
      </c>
      <c r="AL146" s="323">
        <f t="shared" ref="AL146:AM154" ca="1" si="71">AH146*AJ146</f>
        <v>723337.93739812903</v>
      </c>
      <c r="AM146" s="323">
        <f t="shared" ca="1" si="71"/>
        <v>1821864.5351816113</v>
      </c>
      <c r="AO146" s="66">
        <f t="shared" ca="1" si="68"/>
        <v>2.7736328397447485</v>
      </c>
      <c r="AP146" s="4">
        <f ca="1">SUMIFS($J$53:$J$98,$F$53:$F$98,D146,$D$53:$D$98,$B146,$E$53:$E$98,"FZK")</f>
        <v>2.7736328397447485</v>
      </c>
      <c r="AQ146" s="4">
        <f>SUMIFS($J$53:$J$98,$F$53:$F$98,D146,$D$53:$D$98,$B146,$E$53:$E$98,"DZK")</f>
        <v>0</v>
      </c>
    </row>
    <row r="147" spans="2:43" ht="15.75" thickBot="1">
      <c r="B147" s="188" t="str">
        <f t="shared" si="65"/>
        <v>Entry</v>
      </c>
      <c r="D147" s="188" t="str">
        <f t="shared" si="66"/>
        <v>Überackern</v>
      </c>
      <c r="E147" s="190">
        <f t="shared" si="66"/>
        <v>340</v>
      </c>
      <c r="F147" s="190">
        <f t="shared" si="64"/>
        <v>95</v>
      </c>
      <c r="G147" s="190">
        <f t="shared" si="64"/>
        <v>0</v>
      </c>
      <c r="H147" s="190">
        <f t="shared" si="64"/>
        <v>383</v>
      </c>
      <c r="I147" s="190">
        <f t="shared" si="64"/>
        <v>373</v>
      </c>
      <c r="J147" s="190">
        <f t="shared" si="64"/>
        <v>575</v>
      </c>
      <c r="K147" s="190">
        <f t="shared" si="64"/>
        <v>718.59447</v>
      </c>
      <c r="L147" s="190">
        <f t="shared" si="64"/>
        <v>3</v>
      </c>
      <c r="M147" s="190">
        <f t="shared" si="64"/>
        <v>339</v>
      </c>
      <c r="N147" s="190">
        <f t="shared" si="64"/>
        <v>313</v>
      </c>
      <c r="O147" s="190">
        <f t="shared" si="64"/>
        <v>259</v>
      </c>
      <c r="P147" s="190">
        <f t="shared" si="64"/>
        <v>204</v>
      </c>
      <c r="Q147" s="190">
        <f t="shared" si="64"/>
        <v>152</v>
      </c>
      <c r="R147" s="190">
        <f t="shared" si="64"/>
        <v>135</v>
      </c>
      <c r="S147" s="190">
        <f t="shared" si="64"/>
        <v>115</v>
      </c>
      <c r="T147" s="190">
        <f t="shared" si="64"/>
        <v>336.95</v>
      </c>
      <c r="U147" s="190">
        <f t="shared" si="64"/>
        <v>408.84778</v>
      </c>
      <c r="V147" s="190">
        <f t="shared" si="64"/>
        <v>474.48995000000002</v>
      </c>
      <c r="W147" s="190">
        <f t="shared" si="64"/>
        <v>517.23272999999995</v>
      </c>
      <c r="X147" s="190">
        <f t="shared" si="64"/>
        <v>547.69001000000003</v>
      </c>
      <c r="Y147" s="190">
        <f t="shared" si="64"/>
        <v>568.34958000000006</v>
      </c>
      <c r="Z147" s="190">
        <f t="shared" si="64"/>
        <v>605.73602000000005</v>
      </c>
      <c r="AA147" s="190">
        <f t="shared" si="64"/>
        <v>637.39652000000001</v>
      </c>
      <c r="AB147" s="190">
        <f t="shared" si="64"/>
        <v>657.51218999999992</v>
      </c>
      <c r="AC147" s="190">
        <f t="shared" si="64"/>
        <v>698.42469000000006</v>
      </c>
      <c r="AD147" s="452">
        <f t="shared" ca="1" si="64"/>
        <v>818029</v>
      </c>
      <c r="AE147" s="273">
        <f t="shared" ca="1" si="64"/>
        <v>0</v>
      </c>
      <c r="AF147" s="47">
        <f t="shared" ca="1" si="69"/>
        <v>818.029</v>
      </c>
      <c r="AG147" s="158">
        <f t="shared" ca="1" si="67"/>
        <v>396.10625975252731</v>
      </c>
      <c r="AH147" s="180" cm="1">
        <f t="array" aca="1" ref="AH147" ca="1">(SUMPRODUCT(E147:AC147*$E$155:$AC$155*($E$142:$AC$142="Intra"))+SUMPRODUCT(E147:AC147*$E$156:$AC$156*AZ111:BX111*($E$142:$AC$142="Intra")))/(SUMPRODUCT($E$155:$AC$155*(E111:AC111&lt;&gt;0)*($E$142:$AC$142="Intra"))+SUMPRODUCT($E$156:$AC$156*AZ111:BX111*(E111:AC111&lt;&gt;0)*($E$142:$AC$142="Intra")))</f>
        <v>365.99505501099577</v>
      </c>
      <c r="AI147" s="180" cm="1">
        <f t="array" aca="1" ref="AI147" ca="1">(SUMPRODUCT(E147:AC147*$E$155:$AC$155*($E$142:$AC$142="Cross"))+SUMPRODUCT(E147:AC147*$E$156:$AC$156*AZ111:BX111*($E$142:$AC$142="Cross")))/(SUMPRODUCT($E$155:$AC$155*(E147:AC147&lt;&gt;0)*($E$142:$AC$142="Cross"))+SUMPRODUCT($E$156:$AC$156*AZ111:BX111*(E111:AC111&lt;&gt;0)*($E$142:$AC$142="Cross")))</f>
        <v>429.8486484325137</v>
      </c>
      <c r="AJ147" s="323">
        <f ca="1">AF147-AK147</f>
        <v>309.09770035572814</v>
      </c>
      <c r="AK147" s="323">
        <f ca="1">AF147/SUM($AF$145:$AF$154)*SUMIFS($E$157:$AC$157,$E$142:$AC$142,"Cross")</f>
        <v>508.93129964427186</v>
      </c>
      <c r="AL147" s="323">
        <f t="shared" ca="1" si="71"/>
        <v>113128.22984546701</v>
      </c>
      <c r="AM147" s="323">
        <f t="shared" ca="1" si="71"/>
        <v>218763.4312970929</v>
      </c>
      <c r="AO147" s="66">
        <f t="shared" ca="1" si="68"/>
        <v>2.7736328397447489</v>
      </c>
      <c r="AP147" s="4">
        <f t="shared" ref="AP147:AP154" ca="1" si="72">SUMIFS($J$53:$J$98,$F$53:$F$98,D147,$D$53:$D$98,$B147,$E$53:$E$98,"FZK")</f>
        <v>2.7736328397447485</v>
      </c>
      <c r="AQ147" s="4">
        <f t="shared" ref="AQ147:AQ154" ca="1" si="73">SUMIFS($J$53:$J$98,$F$53:$F$98,D147,$D$53:$D$98,$B147,$E$53:$E$98,"DZK")</f>
        <v>2.4962695557702737</v>
      </c>
    </row>
    <row r="148" spans="2:43" ht="15.75" thickBot="1">
      <c r="B148" s="188" t="str">
        <f t="shared" si="65"/>
        <v>Entry</v>
      </c>
      <c r="D148" s="188" t="str">
        <f t="shared" si="66"/>
        <v>Mosonmagyarovar</v>
      </c>
      <c r="E148" s="190">
        <f t="shared" si="66"/>
        <v>49</v>
      </c>
      <c r="F148" s="190">
        <f t="shared" si="64"/>
        <v>288</v>
      </c>
      <c r="G148" s="190">
        <f t="shared" si="64"/>
        <v>383</v>
      </c>
      <c r="H148" s="190">
        <f t="shared" si="64"/>
        <v>0</v>
      </c>
      <c r="I148" s="190">
        <f t="shared" si="64"/>
        <v>10</v>
      </c>
      <c r="J148" s="190">
        <f t="shared" si="64"/>
        <v>284</v>
      </c>
      <c r="K148" s="190">
        <f t="shared" si="64"/>
        <v>427.59447</v>
      </c>
      <c r="L148" s="190">
        <f t="shared" si="64"/>
        <v>380</v>
      </c>
      <c r="M148" s="190">
        <f t="shared" si="64"/>
        <v>48</v>
      </c>
      <c r="N148" s="190">
        <f t="shared" si="64"/>
        <v>70</v>
      </c>
      <c r="O148" s="190">
        <f t="shared" si="64"/>
        <v>124</v>
      </c>
      <c r="P148" s="190">
        <f t="shared" si="64"/>
        <v>179</v>
      </c>
      <c r="Q148" s="190">
        <f t="shared" si="64"/>
        <v>231</v>
      </c>
      <c r="R148" s="190">
        <f t="shared" si="64"/>
        <v>248</v>
      </c>
      <c r="S148" s="190">
        <f t="shared" si="64"/>
        <v>268</v>
      </c>
      <c r="T148" s="190">
        <f t="shared" si="64"/>
        <v>46.05</v>
      </c>
      <c r="U148" s="190">
        <f t="shared" si="64"/>
        <v>117.84778</v>
      </c>
      <c r="V148" s="190">
        <f t="shared" si="64"/>
        <v>183.48994999999999</v>
      </c>
      <c r="W148" s="190">
        <f t="shared" si="64"/>
        <v>226.23273</v>
      </c>
      <c r="X148" s="190">
        <f t="shared" si="64"/>
        <v>256.69001000000003</v>
      </c>
      <c r="Y148" s="190">
        <f t="shared" si="64"/>
        <v>277.34958</v>
      </c>
      <c r="Z148" s="190">
        <f t="shared" si="64"/>
        <v>314.73602</v>
      </c>
      <c r="AA148" s="190">
        <f t="shared" si="64"/>
        <v>346.39652000000001</v>
      </c>
      <c r="AB148" s="190">
        <f t="shared" si="64"/>
        <v>366.51218999999998</v>
      </c>
      <c r="AC148" s="190">
        <f t="shared" si="64"/>
        <v>407.42469</v>
      </c>
      <c r="AD148" s="452">
        <f t="shared" ca="1" si="64"/>
        <v>0</v>
      </c>
      <c r="AE148" s="273">
        <f t="shared" si="64"/>
        <v>0</v>
      </c>
      <c r="AF148" s="47">
        <f t="shared" ca="1" si="69"/>
        <v>0</v>
      </c>
      <c r="AG148" s="158">
        <f t="shared" ca="1" si="67"/>
        <v>142.30832008681622</v>
      </c>
      <c r="AH148" s="180" cm="1">
        <f t="array" aca="1" ref="AH148" ca="1">(SUMPRODUCT(E148:AC148*$E$155:$AC$155*($E$142:$AC$142="Intra"))+SUMPRODUCT(E148:AC148*$E$156:$AC$156*AZ112:BX112*($E$142:$AC$142="Intra")))/(SUMPRODUCT($E$155:$AC$155*(E112:AC112&lt;&gt;0)*($E$142:$AC$142="Intra"))+SUMPRODUCT($E$156:$AC$156*AZ112:BX112*(E112:AC112&lt;&gt;0)*($E$142:$AC$142="Intra")))</f>
        <v>75.079206759304896</v>
      </c>
      <c r="AI148" s="180" cm="1">
        <f t="array" aca="1" ref="AI148" ca="1">(SUMPRODUCT(E148:AC148*$E$155:$AC$155*($E$142:$AC$142="Cross"))+SUMPRODUCT(E148:AC148*$E$156:$AC$156*AZ112:BX112*($E$142:$AC$142="Cross")))/(SUMPRODUCT($E$155:$AC$155*(E148:AC148&lt;&gt;0)*($E$142:$AC$142="Cross"))+SUMPRODUCT($E$156:$AC$156*AZ112:BX112*(E112:AC112&lt;&gt;0)*($E$142:$AC$142="Cross")))</f>
        <v>229.94925045671471</v>
      </c>
      <c r="AJ148" s="323">
        <f t="shared" ref="AJ148:AJ152" ca="1" si="74">AF148-AK148</f>
        <v>0</v>
      </c>
      <c r="AK148" s="323">
        <f t="shared" ref="AK148:AK149" ca="1" si="75">AF148/SUM($AF$145:$AF$154)*SUMIFS($E$157:$AC$157,$E$142:$AC$142,"Cross")</f>
        <v>0</v>
      </c>
      <c r="AL148" s="323">
        <f t="shared" ca="1" si="71"/>
        <v>0</v>
      </c>
      <c r="AM148" s="323">
        <f t="shared" ca="1" si="71"/>
        <v>0</v>
      </c>
      <c r="AO148" s="66">
        <f t="shared" ca="1" si="68"/>
        <v>0</v>
      </c>
      <c r="AP148" s="4">
        <f t="shared" ca="1" si="72"/>
        <v>2.7736328397447485</v>
      </c>
      <c r="AQ148" s="4">
        <f t="shared" si="73"/>
        <v>0</v>
      </c>
    </row>
    <row r="149" spans="2:43" ht="15.75" thickBot="1">
      <c r="B149" s="188" t="str">
        <f t="shared" si="65"/>
        <v>Entry</v>
      </c>
      <c r="D149" s="188" t="str">
        <f t="shared" si="66"/>
        <v>Petrzalka</v>
      </c>
      <c r="E149" s="190">
        <f t="shared" si="66"/>
        <v>39</v>
      </c>
      <c r="F149" s="190">
        <f t="shared" si="64"/>
        <v>278</v>
      </c>
      <c r="G149" s="190">
        <f t="shared" si="64"/>
        <v>373</v>
      </c>
      <c r="H149" s="190">
        <f t="shared" si="64"/>
        <v>10</v>
      </c>
      <c r="I149" s="190">
        <f t="shared" si="64"/>
        <v>0</v>
      </c>
      <c r="J149" s="190">
        <f t="shared" si="64"/>
        <v>274</v>
      </c>
      <c r="K149" s="190">
        <f t="shared" si="64"/>
        <v>417.59447</v>
      </c>
      <c r="L149" s="190">
        <f t="shared" si="64"/>
        <v>370</v>
      </c>
      <c r="M149" s="190">
        <f t="shared" si="64"/>
        <v>38</v>
      </c>
      <c r="N149" s="190">
        <f t="shared" si="64"/>
        <v>60</v>
      </c>
      <c r="O149" s="190">
        <f t="shared" si="64"/>
        <v>114</v>
      </c>
      <c r="P149" s="190">
        <f t="shared" si="64"/>
        <v>169</v>
      </c>
      <c r="Q149" s="190">
        <f t="shared" si="64"/>
        <v>221</v>
      </c>
      <c r="R149" s="190">
        <f t="shared" si="64"/>
        <v>238</v>
      </c>
      <c r="S149" s="190">
        <f t="shared" si="64"/>
        <v>258</v>
      </c>
      <c r="T149" s="190">
        <f t="shared" si="64"/>
        <v>36.049999999999997</v>
      </c>
      <c r="U149" s="190">
        <f t="shared" si="64"/>
        <v>107.84778</v>
      </c>
      <c r="V149" s="190">
        <f t="shared" si="64"/>
        <v>173.48994999999999</v>
      </c>
      <c r="W149" s="190">
        <f t="shared" si="64"/>
        <v>216.23273</v>
      </c>
      <c r="X149" s="190">
        <f t="shared" si="64"/>
        <v>246.69001</v>
      </c>
      <c r="Y149" s="190">
        <f t="shared" si="64"/>
        <v>267.34958</v>
      </c>
      <c r="Z149" s="190">
        <f t="shared" si="64"/>
        <v>304.73602</v>
      </c>
      <c r="AA149" s="190">
        <f t="shared" si="64"/>
        <v>336.39652000000001</v>
      </c>
      <c r="AB149" s="190">
        <f t="shared" si="64"/>
        <v>356.51218999999998</v>
      </c>
      <c r="AC149" s="190">
        <f t="shared" si="64"/>
        <v>397.42469</v>
      </c>
      <c r="AD149" s="452">
        <f t="shared" ca="1" si="64"/>
        <v>0</v>
      </c>
      <c r="AE149" s="273">
        <f t="shared" si="64"/>
        <v>0</v>
      </c>
      <c r="AF149" s="47">
        <f t="shared" ca="1" si="69"/>
        <v>0</v>
      </c>
      <c r="AG149" s="158">
        <f t="shared" ca="1" si="67"/>
        <v>124.21073434330486</v>
      </c>
      <c r="AH149" s="180" cm="1">
        <f t="array" aca="1" ref="AH149" ca="1">(SUMPRODUCT(E149:AC149*$E$155:$AC$155*($E$142:$AC$142="Intra"))+SUMPRODUCT(E149:AC149*$E$156:$AC$156*AZ113:BX113*($E$142:$AC$142="Intra")))/(SUMPRODUCT($E$155:$AC$155*(E113:AC113&lt;&gt;0)*($E$142:$AC$142="Intra"))+SUMPRODUCT($E$156:$AC$156*AZ113:BX113*(E113:AC113&lt;&gt;0)*($E$142:$AC$142="Intra")))</f>
        <v>65.079206759304896</v>
      </c>
      <c r="AI149" s="180" cm="1">
        <f t="array" aca="1" ref="AI149" ca="1">(SUMPRODUCT(E149:AC149*$E$155:$AC$155*($E$142:$AC$142="Cross"))+SUMPRODUCT(E149:AC149*$E$156:$AC$156*AZ113:BX113*($E$142:$AC$142="Cross")))/(SUMPRODUCT($E$155:$AC$155*(E149:AC149&lt;&gt;0)*($E$142:$AC$142="Cross"))+SUMPRODUCT($E$156:$AC$156*AZ113:BX113*(E113:AC113&lt;&gt;0)*($E$142:$AC$142="Cross")))</f>
        <v>190.47307768384491</v>
      </c>
      <c r="AJ149" s="323">
        <f t="shared" ca="1" si="74"/>
        <v>0</v>
      </c>
      <c r="AK149" s="323">
        <f t="shared" ca="1" si="75"/>
        <v>0</v>
      </c>
      <c r="AL149" s="323">
        <f t="shared" ca="1" si="71"/>
        <v>0</v>
      </c>
      <c r="AM149" s="323">
        <f t="shared" ca="1" si="71"/>
        <v>0</v>
      </c>
      <c r="AO149" s="66">
        <f t="shared" ca="1" si="68"/>
        <v>0</v>
      </c>
      <c r="AP149" s="4">
        <f t="shared" ca="1" si="72"/>
        <v>2.7736328397447485</v>
      </c>
      <c r="AQ149" s="4">
        <f t="shared" si="73"/>
        <v>0</v>
      </c>
    </row>
    <row r="150" spans="2:43" ht="15.75" thickBot="1">
      <c r="B150" s="188" t="str">
        <f t="shared" si="65"/>
        <v>Entry</v>
      </c>
      <c r="D150" s="188" t="str">
        <f t="shared" si="66"/>
        <v>Murfeld</v>
      </c>
      <c r="E150" s="190">
        <f t="shared" si="66"/>
        <v>241</v>
      </c>
      <c r="F150" s="190">
        <f t="shared" si="66"/>
        <v>480</v>
      </c>
      <c r="G150" s="190">
        <f t="shared" si="66"/>
        <v>575</v>
      </c>
      <c r="H150" s="190">
        <f t="shared" si="66"/>
        <v>284</v>
      </c>
      <c r="I150" s="190">
        <f t="shared" si="66"/>
        <v>274</v>
      </c>
      <c r="J150" s="190">
        <f t="shared" si="66"/>
        <v>0</v>
      </c>
      <c r="K150" s="190">
        <f t="shared" si="66"/>
        <v>143.59447</v>
      </c>
      <c r="L150" s="190">
        <f t="shared" si="66"/>
        <v>572</v>
      </c>
      <c r="M150" s="190">
        <f t="shared" si="66"/>
        <v>240</v>
      </c>
      <c r="N150" s="190">
        <f t="shared" si="66"/>
        <v>262</v>
      </c>
      <c r="O150" s="190">
        <f t="shared" si="66"/>
        <v>316</v>
      </c>
      <c r="P150" s="190">
        <f t="shared" si="66"/>
        <v>371</v>
      </c>
      <c r="Q150" s="190">
        <f t="shared" si="66"/>
        <v>423</v>
      </c>
      <c r="R150" s="190">
        <f t="shared" si="66"/>
        <v>440</v>
      </c>
      <c r="S150" s="190">
        <f t="shared" si="66"/>
        <v>460</v>
      </c>
      <c r="T150" s="190">
        <f t="shared" si="64"/>
        <v>238.05</v>
      </c>
      <c r="U150" s="190">
        <f t="shared" si="64"/>
        <v>166.15222</v>
      </c>
      <c r="V150" s="190">
        <f t="shared" si="64"/>
        <v>100.51005000000001</v>
      </c>
      <c r="W150" s="190">
        <f t="shared" si="64"/>
        <v>57.767269999999996</v>
      </c>
      <c r="X150" s="190">
        <f t="shared" si="64"/>
        <v>27.309989999999999</v>
      </c>
      <c r="Y150" s="190">
        <f t="shared" si="64"/>
        <v>47.969560000000001</v>
      </c>
      <c r="Z150" s="190">
        <f t="shared" si="64"/>
        <v>85.355999999999995</v>
      </c>
      <c r="AA150" s="190">
        <f t="shared" si="64"/>
        <v>117.01650000000001</v>
      </c>
      <c r="AB150" s="190">
        <f t="shared" si="64"/>
        <v>137.13216999999992</v>
      </c>
      <c r="AC150" s="190">
        <f t="shared" si="64"/>
        <v>178.04467000000005</v>
      </c>
      <c r="AD150" s="452">
        <f t="shared" ca="1" si="64"/>
        <v>0</v>
      </c>
      <c r="AE150" s="273">
        <f t="shared" si="64"/>
        <v>0</v>
      </c>
      <c r="AF150" s="47">
        <f t="shared" ca="1" si="69"/>
        <v>0</v>
      </c>
      <c r="AG150" s="158">
        <f t="shared" ca="1" si="67"/>
        <v>232.42888240160514</v>
      </c>
      <c r="AH150" s="180" cm="1">
        <f t="array" aca="1" ref="AH150" ca="1">(SUMPRODUCT(E150:AC150*$E$155:$AC$155*($E$142:$AC$142="Intra"))+SUMPRODUCT(E150:AC150*$E$156:$AC$156*AZ114:BX114*($E$142:$AC$142="Intra")))/(SUMPRODUCT($E$155:$AC$155*(E114:AC114&lt;&gt;0)*($E$142:$AC$142="Intra"))+SUMPRODUCT($E$156:$AC$156*AZ114:BX114*(E114:AC114&lt;&gt;0)*($E$142:$AC$142="Intra")))</f>
        <v>213.91063108073556</v>
      </c>
      <c r="AI150" s="180" cm="1">
        <f t="array" aca="1" ref="AI150" ca="1">(SUMPRODUCT(E150:AC150*$E$155:$AC$155*($E$142:$AC$142="Cross"))+SUMPRODUCT(E150:AC150*$E$156:$AC$156*AZ114:BX114*($E$142:$AC$142="Cross")))/(SUMPRODUCT($E$155:$AC$155*(E150:AC150&lt;&gt;0)*($E$142:$AC$142="Cross"))+SUMPRODUCT($E$156:$AC$156*AZ114:BX114*(E114:AC114&lt;&gt;0)*($E$142:$AC$142="Cross")))</f>
        <v>254.00944302762213</v>
      </c>
      <c r="AJ150" s="323">
        <f t="shared" ca="1" si="74"/>
        <v>0</v>
      </c>
      <c r="AK150" s="323">
        <f ca="1">AF150/SUM($AF$145:$AF$154)*SUMIFS($E$157:$AC$157,$E$142:$AC$142,"Cross")</f>
        <v>0</v>
      </c>
      <c r="AL150" s="323">
        <f t="shared" ca="1" si="71"/>
        <v>0</v>
      </c>
      <c r="AM150" s="323">
        <f t="shared" ca="1" si="71"/>
        <v>0</v>
      </c>
      <c r="AO150" s="66">
        <f t="shared" ca="1" si="68"/>
        <v>0</v>
      </c>
      <c r="AP150" s="4">
        <f t="shared" ca="1" si="72"/>
        <v>2.7736328397447485</v>
      </c>
      <c r="AQ150" s="4">
        <f t="shared" si="73"/>
        <v>0</v>
      </c>
    </row>
    <row r="151" spans="2:43" ht="15.75" thickBot="1">
      <c r="B151" s="188" t="str">
        <f t="shared" si="65"/>
        <v>Entry</v>
      </c>
      <c r="D151" s="188" t="str">
        <f t="shared" si="66"/>
        <v>Arnoldstein</v>
      </c>
      <c r="E151" s="190">
        <f t="shared" si="66"/>
        <v>384.59447</v>
      </c>
      <c r="F151" s="190">
        <f t="shared" si="66"/>
        <v>623.59447</v>
      </c>
      <c r="G151" s="190">
        <f t="shared" si="66"/>
        <v>718.59447</v>
      </c>
      <c r="H151" s="190">
        <f t="shared" si="66"/>
        <v>427.59447</v>
      </c>
      <c r="I151" s="190">
        <f t="shared" si="66"/>
        <v>417.59447</v>
      </c>
      <c r="J151" s="190">
        <f t="shared" si="66"/>
        <v>143.59447</v>
      </c>
      <c r="K151" s="190">
        <f t="shared" si="66"/>
        <v>0</v>
      </c>
      <c r="L151" s="190">
        <f t="shared" si="66"/>
        <v>715.59447</v>
      </c>
      <c r="M151" s="190">
        <f t="shared" si="66"/>
        <v>383.59447</v>
      </c>
      <c r="N151" s="190">
        <f t="shared" si="66"/>
        <v>405.59447</v>
      </c>
      <c r="O151" s="190">
        <f t="shared" si="66"/>
        <v>459.59447</v>
      </c>
      <c r="P151" s="190">
        <f t="shared" si="66"/>
        <v>514.59447</v>
      </c>
      <c r="Q151" s="190">
        <f t="shared" si="66"/>
        <v>566.59447</v>
      </c>
      <c r="R151" s="190">
        <f t="shared" si="66"/>
        <v>583.59447</v>
      </c>
      <c r="S151" s="190">
        <f t="shared" si="66"/>
        <v>603.59447</v>
      </c>
      <c r="T151" s="190">
        <f t="shared" si="64"/>
        <v>381.64447000000001</v>
      </c>
      <c r="U151" s="190">
        <f t="shared" si="64"/>
        <v>309.74669</v>
      </c>
      <c r="V151" s="190">
        <f t="shared" si="64"/>
        <v>244.10452000000001</v>
      </c>
      <c r="W151" s="190">
        <f t="shared" si="64"/>
        <v>201.36174</v>
      </c>
      <c r="X151" s="190">
        <f t="shared" si="64"/>
        <v>170.90446</v>
      </c>
      <c r="Y151" s="190">
        <f t="shared" si="64"/>
        <v>150.24489</v>
      </c>
      <c r="Z151" s="190">
        <f t="shared" si="64"/>
        <v>112.85845</v>
      </c>
      <c r="AA151" s="190">
        <f t="shared" si="64"/>
        <v>81.197949999999992</v>
      </c>
      <c r="AB151" s="190">
        <f t="shared" si="64"/>
        <v>61.082280000000026</v>
      </c>
      <c r="AC151" s="190">
        <f t="shared" si="64"/>
        <v>20.169780000000003</v>
      </c>
      <c r="AD151" s="452">
        <f t="shared" ca="1" si="64"/>
        <v>6234139</v>
      </c>
      <c r="AE151" s="273">
        <f t="shared" ca="1" si="64"/>
        <v>521331</v>
      </c>
      <c r="AF151" s="47">
        <f t="shared" ca="1" si="69"/>
        <v>6755.47</v>
      </c>
      <c r="AG151" s="158">
        <f t="shared" ca="1" si="67"/>
        <v>382.43403479247212</v>
      </c>
      <c r="AH151" s="180" cm="1">
        <f t="array" aca="1" ref="AH151" ca="1">(SUMPRODUCT(E151:AC151*$E$155:$AC$155*($E$142:$AC$142="Intra"))+SUMPRODUCT(E151:AC151*$E$156:$AC$156*AZ115:BX115*($E$142:$AC$142="Intra")))/(SUMPRODUCT($E$155:$AC$155*(E115:AC115&lt;&gt;0)*($E$142:$AC$142="Intra"))+SUMPRODUCT($E$156:$AC$156*AZ115:BX115*(E115:AC115&lt;&gt;0)*($E$142:$AC$142="Intra")))</f>
        <v>352.5994149890044</v>
      </c>
      <c r="AI151" s="180" cm="1">
        <f t="array" aca="1" ref="AI151" ca="1">(SUMPRODUCT(E151:AC151*$E$155:$AC$155*($E$142:$AC$142="Cross"))+SUMPRODUCT(E151:AC151*$E$156:$AC$156*AZ115:BX115*($E$142:$AC$142="Cross")))/(SUMPRODUCT($E$155:$AC$155*(E151:AC151&lt;&gt;0)*($E$142:$AC$142="Cross"))+SUMPRODUCT($E$156:$AC$156*AZ115:BX115*(E115:AC115&lt;&gt;0)*($E$142:$AC$142="Cross")))</f>
        <v>429.80274538876444</v>
      </c>
      <c r="AJ151" s="323">
        <f t="shared" ca="1" si="74"/>
        <v>2552.5992866048891</v>
      </c>
      <c r="AK151" s="323">
        <f ca="1">AF151/SUM($AF$145:$AF$154)*SUMIFS($E$157:$AC$157,$E$142:$AC$142,"Cross")</f>
        <v>4202.8707133951111</v>
      </c>
      <c r="AL151" s="323">
        <f t="shared" ca="1" si="71"/>
        <v>900045.01515823393</v>
      </c>
      <c r="AM151" s="323">
        <f ca="1">AI151*AK151</f>
        <v>1806405.3711312537</v>
      </c>
      <c r="AO151" s="66">
        <f t="shared" ca="1" si="68"/>
        <v>2.7522282478810149</v>
      </c>
      <c r="AP151" s="4">
        <f t="shared" ca="1" si="72"/>
        <v>2.7736328397447485</v>
      </c>
      <c r="AQ151" s="4">
        <f t="shared" ca="1" si="73"/>
        <v>2.4962695557702737</v>
      </c>
    </row>
    <row r="152" spans="2:43" ht="15.75" thickBot="1">
      <c r="B152" s="188" t="str">
        <f t="shared" si="65"/>
        <v>Entry</v>
      </c>
      <c r="D152" s="188" t="str">
        <f t="shared" si="66"/>
        <v>Storage 7-fields</v>
      </c>
      <c r="E152" s="190">
        <f t="shared" si="66"/>
        <v>337</v>
      </c>
      <c r="F152" s="190">
        <f t="shared" si="66"/>
        <v>92</v>
      </c>
      <c r="G152" s="190">
        <f t="shared" si="66"/>
        <v>3</v>
      </c>
      <c r="H152" s="190">
        <f t="shared" si="66"/>
        <v>380</v>
      </c>
      <c r="I152" s="190">
        <f t="shared" si="66"/>
        <v>370</v>
      </c>
      <c r="J152" s="190">
        <f t="shared" si="66"/>
        <v>572</v>
      </c>
      <c r="K152" s="190">
        <f t="shared" si="66"/>
        <v>715.59447</v>
      </c>
      <c r="L152" s="190">
        <f t="shared" si="66"/>
        <v>0</v>
      </c>
      <c r="M152" s="190">
        <f t="shared" si="66"/>
        <v>336</v>
      </c>
      <c r="N152" s="190">
        <f t="shared" si="66"/>
        <v>310</v>
      </c>
      <c r="O152" s="190">
        <f t="shared" si="66"/>
        <v>412</v>
      </c>
      <c r="P152" s="190">
        <f t="shared" si="66"/>
        <v>467</v>
      </c>
      <c r="Q152" s="190">
        <f t="shared" si="66"/>
        <v>519</v>
      </c>
      <c r="R152" s="190">
        <f t="shared" si="66"/>
        <v>536</v>
      </c>
      <c r="S152" s="190">
        <f t="shared" si="66"/>
        <v>556</v>
      </c>
      <c r="T152" s="190">
        <f t="shared" si="64"/>
        <v>334.05</v>
      </c>
      <c r="U152" s="190">
        <f t="shared" si="64"/>
        <v>405.84778</v>
      </c>
      <c r="V152" s="190">
        <f t="shared" si="64"/>
        <v>471.48995000000002</v>
      </c>
      <c r="W152" s="190">
        <f t="shared" si="64"/>
        <v>514.23272999999995</v>
      </c>
      <c r="X152" s="190">
        <f t="shared" si="64"/>
        <v>544.69001000000003</v>
      </c>
      <c r="Y152" s="190">
        <f t="shared" si="64"/>
        <v>565.34958000000006</v>
      </c>
      <c r="Z152" s="190">
        <f t="shared" si="64"/>
        <v>602.73602000000005</v>
      </c>
      <c r="AA152" s="190">
        <f t="shared" si="64"/>
        <v>634.39652000000001</v>
      </c>
      <c r="AB152" s="190">
        <f t="shared" si="64"/>
        <v>654.51218999999992</v>
      </c>
      <c r="AC152" s="190">
        <f t="shared" si="64"/>
        <v>695.42469000000006</v>
      </c>
      <c r="AD152" s="452">
        <f t="shared" ca="1" si="64"/>
        <v>0</v>
      </c>
      <c r="AE152" s="273">
        <f t="shared" si="64"/>
        <v>0</v>
      </c>
      <c r="AF152" s="47">
        <f t="shared" ca="1" si="69"/>
        <v>0</v>
      </c>
      <c r="AG152" s="158">
        <f t="shared" ca="1" si="67"/>
        <v>393.15072836967789</v>
      </c>
      <c r="AH152" s="180" cm="1">
        <f t="array" aca="1" ref="AH152" ca="1">(SUMPRODUCT(E152:AC152*$E$155:$AC$155*($E$142:$AC$142="Intra"))+SUMPRODUCT(E152:AC152*$E$156:$AC$156*AZ116:BX116*($E$142:$AC$142="Intra")))/(SUMPRODUCT($E$155:$AC$155*(E116:AC116&lt;&gt;0)*($E$142:$AC$142="Intra"))+SUMPRODUCT($E$156:$AC$156*AZ116:BX116*(E116:AC116&lt;&gt;0)*($E$142:$AC$142="Intra")))</f>
        <v>363.07920675930501</v>
      </c>
      <c r="AI152" s="180" cm="1">
        <f t="array" aca="1" ref="AI152" ca="1">(SUMPRODUCT(E152:AC152*$E$155:$AC$155*($E$142:$AC$142="Cross"))+SUMPRODUCT(E152:AC152*$E$156:$AC$156*AZ116:BX116*($E$142:$AC$142="Cross")))/(SUMPRODUCT($E$155:$AC$155*(E152:AC152&lt;&gt;0)*($E$142:$AC$142="Cross"))+SUMPRODUCT($E$156:$AC$156*AZ116:BX116*(E116:AC116&lt;&gt;0)*($E$142:$AC$142="Cross")))</f>
        <v>426.8486484325137</v>
      </c>
      <c r="AJ152" s="323">
        <f t="shared" ca="1" si="74"/>
        <v>0</v>
      </c>
      <c r="AK152" s="323">
        <f ca="1">AF152/SUM($AF$145:$AF$154)*SUMIFS($E$157:$AC$157,$E$142:$AC$142,"Cross")</f>
        <v>0</v>
      </c>
      <c r="AL152" s="323">
        <f t="shared" ca="1" si="71"/>
        <v>0</v>
      </c>
      <c r="AM152" s="323">
        <f t="shared" ca="1" si="71"/>
        <v>0</v>
      </c>
      <c r="AO152" s="66">
        <f t="shared" ca="1" si="68"/>
        <v>0</v>
      </c>
      <c r="AP152" s="4">
        <f t="shared" ca="1" si="72"/>
        <v>0</v>
      </c>
      <c r="AQ152" s="4">
        <f t="shared" si="73"/>
        <v>0</v>
      </c>
    </row>
    <row r="153" spans="2:43" ht="15.75" thickBot="1">
      <c r="B153" s="188" t="str">
        <f t="shared" si="65"/>
        <v>Entry</v>
      </c>
      <c r="D153" s="188" t="str">
        <f t="shared" si="66"/>
        <v>Storage MAB</v>
      </c>
      <c r="E153" s="190">
        <f t="shared" si="66"/>
        <v>5</v>
      </c>
      <c r="F153" s="190">
        <f t="shared" si="66"/>
        <v>244</v>
      </c>
      <c r="G153" s="190">
        <f t="shared" si="66"/>
        <v>339</v>
      </c>
      <c r="H153" s="190">
        <f t="shared" si="66"/>
        <v>48</v>
      </c>
      <c r="I153" s="190">
        <f t="shared" si="66"/>
        <v>38</v>
      </c>
      <c r="J153" s="190">
        <f t="shared" si="66"/>
        <v>240</v>
      </c>
      <c r="K153" s="190">
        <f t="shared" si="66"/>
        <v>383.59447</v>
      </c>
      <c r="L153" s="190">
        <f t="shared" si="66"/>
        <v>336</v>
      </c>
      <c r="M153" s="190">
        <f t="shared" si="66"/>
        <v>0</v>
      </c>
      <c r="N153" s="190">
        <f t="shared" si="66"/>
        <v>26</v>
      </c>
      <c r="O153" s="190">
        <f t="shared" si="66"/>
        <v>80</v>
      </c>
      <c r="P153" s="190">
        <f t="shared" si="66"/>
        <v>135</v>
      </c>
      <c r="Q153" s="190">
        <f t="shared" si="66"/>
        <v>187</v>
      </c>
      <c r="R153" s="190">
        <f t="shared" si="66"/>
        <v>204</v>
      </c>
      <c r="S153" s="190">
        <f t="shared" si="66"/>
        <v>224</v>
      </c>
      <c r="T153" s="190">
        <f t="shared" si="64"/>
        <v>2.0499999999999998</v>
      </c>
      <c r="U153" s="190">
        <f t="shared" si="64"/>
        <v>73.84778</v>
      </c>
      <c r="V153" s="190">
        <f t="shared" si="64"/>
        <v>139.48994999999999</v>
      </c>
      <c r="W153" s="190">
        <f t="shared" si="64"/>
        <v>182.23273</v>
      </c>
      <c r="X153" s="190">
        <f t="shared" si="64"/>
        <v>212.69001</v>
      </c>
      <c r="Y153" s="190">
        <f t="shared" si="64"/>
        <v>233.34958</v>
      </c>
      <c r="Z153" s="190">
        <f t="shared" si="64"/>
        <v>270.73602</v>
      </c>
      <c r="AA153" s="190">
        <f t="shared" si="64"/>
        <v>302.39652000000001</v>
      </c>
      <c r="AB153" s="190">
        <f t="shared" si="64"/>
        <v>322.51218999999998</v>
      </c>
      <c r="AC153" s="190">
        <f t="shared" si="64"/>
        <v>363.42469</v>
      </c>
      <c r="AD153" s="452">
        <f t="shared" ca="1" si="64"/>
        <v>6629423</v>
      </c>
      <c r="AE153" s="273">
        <f t="shared" si="64"/>
        <v>0</v>
      </c>
      <c r="AF153" s="47">
        <f t="shared" ca="1" si="69"/>
        <v>6629.4229999999998</v>
      </c>
      <c r="AG153" s="158">
        <f t="shared" ca="1" si="67"/>
        <v>109.49484392216233</v>
      </c>
      <c r="AH153" s="180" cm="1">
        <f t="array" aca="1" ref="AH153" ca="1">(SUMPRODUCT(E153:AC153*$E$155:$AC$155*($E$142:$AC$142="Intra"))+SUMPRODUCT(E153:AC153*$E$156:$AC$156*AZ117:BX117*($E$142:$AC$142="Intra")))/(SUMPRODUCT($E$155:$AC$155*(E117:AC117&lt;&gt;0)*($E$142:$AC$142="Intra"))+SUMPRODUCT($E$156:$AC$156*AZ117:BX117*(E117:AC117&lt;&gt;0)*($E$142:$AC$142="Intra")))</f>
        <v>31.079206759304896</v>
      </c>
      <c r="AI153" s="180" cm="1">
        <f t="array" aca="1" ref="AI153" ca="1">(SUMPRODUCT(E153:AC153*$E$155:$AC$155*($E$142:$AC$142="Cross"))+SUMPRODUCT(E153:AC153*$E$156:$AC$156*AZ117:BX117*($E$142:$AC$142="Cross")))/(SUMPRODUCT($E$155:$AC$155*(E153:AC153&lt;&gt;0)*($E$142:$AC$142="Cross"))+SUMPRODUCT($E$156:$AC$156*AZ117:BX117*(E117:AC117&lt;&gt;0)*($E$142:$AC$142="Cross")))</f>
        <v>233.57570725997783</v>
      </c>
      <c r="AJ153" s="323">
        <f ca="1">AF153-AK153</f>
        <v>2504.9715890089128</v>
      </c>
      <c r="AK153" s="323">
        <f t="shared" ref="AK153:AK154" ca="1" si="76">AF153/SUM($AF$145:$AF$154)*SUMIFS($E$157:$AC$157,$E$142:$AC$142,"Cross")</f>
        <v>4124.451410991087</v>
      </c>
      <c r="AL153" s="323">
        <f t="shared" ca="1" si="71"/>
        <v>77852.529940992521</v>
      </c>
      <c r="AM153" s="323">
        <f t="shared" ca="1" si="71"/>
        <v>963371.6553816566</v>
      </c>
      <c r="AO153" s="66">
        <f t="shared" ca="1" si="68"/>
        <v>0</v>
      </c>
      <c r="AP153" s="4">
        <f t="shared" ca="1" si="72"/>
        <v>0</v>
      </c>
      <c r="AQ153" s="4">
        <f t="shared" si="73"/>
        <v>0</v>
      </c>
    </row>
    <row r="154" spans="2:43" ht="15.75" thickBot="1">
      <c r="B154" s="188" t="str">
        <f t="shared" si="65"/>
        <v>Entry</v>
      </c>
      <c r="D154" s="240" t="str">
        <f t="shared" si="66"/>
        <v>Verteilergebiet</v>
      </c>
      <c r="E154" s="190">
        <f>E118</f>
        <v>27</v>
      </c>
      <c r="F154" s="190">
        <f t="shared" si="66"/>
        <v>218</v>
      </c>
      <c r="G154" s="190">
        <f t="shared" si="66"/>
        <v>313</v>
      </c>
      <c r="H154" s="190">
        <f t="shared" si="66"/>
        <v>70</v>
      </c>
      <c r="I154" s="190">
        <f t="shared" si="66"/>
        <v>60</v>
      </c>
      <c r="J154" s="190">
        <f t="shared" si="66"/>
        <v>262</v>
      </c>
      <c r="K154" s="190">
        <f t="shared" si="66"/>
        <v>405.59447</v>
      </c>
      <c r="L154" s="190">
        <f t="shared" si="66"/>
        <v>310</v>
      </c>
      <c r="M154" s="190">
        <f t="shared" si="66"/>
        <v>26</v>
      </c>
      <c r="N154" s="190">
        <f>N118</f>
        <v>0</v>
      </c>
      <c r="O154" s="190">
        <f t="shared" si="66"/>
        <v>54</v>
      </c>
      <c r="P154" s="190">
        <f t="shared" si="66"/>
        <v>109</v>
      </c>
      <c r="Q154" s="190">
        <f t="shared" si="66"/>
        <v>161</v>
      </c>
      <c r="R154" s="190">
        <f t="shared" si="66"/>
        <v>178</v>
      </c>
      <c r="S154" s="190">
        <f t="shared" si="66"/>
        <v>198</v>
      </c>
      <c r="T154" s="190">
        <f t="shared" si="64"/>
        <v>24</v>
      </c>
      <c r="U154" s="190">
        <f t="shared" si="64"/>
        <v>95.84778</v>
      </c>
      <c r="V154" s="190">
        <f t="shared" si="64"/>
        <v>161.48994999999999</v>
      </c>
      <c r="W154" s="190">
        <f t="shared" si="64"/>
        <v>204.23273</v>
      </c>
      <c r="X154" s="190">
        <f t="shared" si="64"/>
        <v>234.69001</v>
      </c>
      <c r="Y154" s="190">
        <f t="shared" si="64"/>
        <v>255.34958</v>
      </c>
      <c r="Z154" s="190">
        <f t="shared" si="64"/>
        <v>292.73602</v>
      </c>
      <c r="AA154" s="190">
        <f t="shared" si="64"/>
        <v>324.39652000000001</v>
      </c>
      <c r="AB154" s="190">
        <f t="shared" si="64"/>
        <v>344.51218999999998</v>
      </c>
      <c r="AC154" s="190">
        <f t="shared" si="64"/>
        <v>385.42469</v>
      </c>
      <c r="AD154" s="453">
        <f t="shared" ca="1" si="64"/>
        <v>4028400.0000000009</v>
      </c>
      <c r="AE154" s="200">
        <f t="shared" si="64"/>
        <v>0</v>
      </c>
      <c r="AF154" s="47">
        <f t="shared" ca="1" si="69"/>
        <v>4028.400000000001</v>
      </c>
      <c r="AG154" s="158">
        <f t="shared" ca="1" si="67"/>
        <v>113.60062609897517</v>
      </c>
      <c r="AH154" s="180" cm="1">
        <f t="array" aca="1" ref="AH154" ca="1">(SUMPRODUCT(E154:AC154*$E$155:$AC$155*($E$142:$AC$142="Intra"))+SUMPRODUCT(E154:AC154*$E$156:$AC$156*AZ118:BX118*($E$142:$AC$142="Intra")))/(SUMPRODUCT($E$155:$AC$155*(E118:AC118&lt;&gt;0)*($E$142:$AC$142="Intra"))+SUMPRODUCT($E$156:$AC$156*AZ118:BX118*(E118:AC118&lt;&gt;0)*($E$142:$AC$142="Intra")))</f>
        <v>53.037130885150255</v>
      </c>
      <c r="AI154" s="180" cm="1">
        <f t="array" aca="1" ref="AI154" ca="1">(SUMPRODUCT(E154:AC154*$E$155:$AC$155*($E$142:$AC$142="Cross"))+SUMPRODUCT(E154:AC154*$E$156:$AC$156*AZ118:BX118*($E$142:$AC$142="Cross")))/(SUMPRODUCT($E$155:$AC$155*(E154:AC154&lt;&gt;0)*($E$142:$AC$142="Cross"))+SUMPRODUCT($E$156:$AC$156*AZ118:BX118*(E118:AC118&lt;&gt;0)*($E$142:$AC$142="Cross")))</f>
        <v>181.46762155348623</v>
      </c>
      <c r="AJ154" s="323">
        <f t="shared" ref="AJ154" ca="1" si="77">AF154-AK154</f>
        <v>1522.1577427120742</v>
      </c>
      <c r="AK154" s="323">
        <f t="shared" ca="1" si="76"/>
        <v>2506.2422572879268</v>
      </c>
      <c r="AL154" s="323">
        <f t="shared" ca="1" si="71"/>
        <v>80730.879428065149</v>
      </c>
      <c r="AM154" s="323">
        <f t="shared" ca="1" si="71"/>
        <v>454801.82146688056</v>
      </c>
      <c r="AO154" s="66">
        <f t="shared" ca="1" si="68"/>
        <v>0</v>
      </c>
      <c r="AP154" s="4">
        <f t="shared" ca="1" si="72"/>
        <v>0</v>
      </c>
      <c r="AQ154" s="4">
        <f t="shared" si="73"/>
        <v>0</v>
      </c>
    </row>
    <row r="155" spans="2:43">
      <c r="B155" s="188" t="str">
        <f t="shared" si="65"/>
        <v>FZK</v>
      </c>
      <c r="C155" s="3"/>
      <c r="D155" s="171" t="str">
        <f t="shared" si="66"/>
        <v>forecasted capacity (kWh/h)</v>
      </c>
      <c r="E155" s="201">
        <f ca="1">E119</f>
        <v>1975276</v>
      </c>
      <c r="F155" s="202">
        <f t="shared" ca="1" si="66"/>
        <v>3366967</v>
      </c>
      <c r="G155" s="202">
        <f t="shared" ca="1" si="66"/>
        <v>0</v>
      </c>
      <c r="H155" s="202">
        <f t="shared" ca="1" si="66"/>
        <v>3189496</v>
      </c>
      <c r="I155" s="202">
        <f t="shared" ca="1" si="66"/>
        <v>0</v>
      </c>
      <c r="J155" s="202">
        <f t="shared" ca="1" si="66"/>
        <v>872840</v>
      </c>
      <c r="K155" s="202">
        <f t="shared" ca="1" si="66"/>
        <v>6683747</v>
      </c>
      <c r="L155" s="202">
        <f t="shared" ca="1" si="66"/>
        <v>0</v>
      </c>
      <c r="M155" s="205">
        <f t="shared" ca="1" si="66"/>
        <v>6629423</v>
      </c>
      <c r="N155" s="201">
        <f ca="1">N119</f>
        <v>0</v>
      </c>
      <c r="O155" s="202">
        <f t="shared" ca="1" si="66"/>
        <v>0</v>
      </c>
      <c r="P155" s="202">
        <f t="shared" ca="1" si="66"/>
        <v>0</v>
      </c>
      <c r="Q155" s="202">
        <f t="shared" ca="1" si="66"/>
        <v>0</v>
      </c>
      <c r="R155" s="202">
        <f t="shared" ca="1" si="66"/>
        <v>0</v>
      </c>
      <c r="S155" s="202">
        <f t="shared" ca="1" si="66"/>
        <v>0</v>
      </c>
      <c r="T155" s="202">
        <f t="shared" ca="1" si="64"/>
        <v>21422795</v>
      </c>
      <c r="U155" s="202">
        <f t="shared" ca="1" si="64"/>
        <v>1111502.9999999988</v>
      </c>
      <c r="V155" s="202">
        <f t="shared" ca="1" si="64"/>
        <v>166730.99999999983</v>
      </c>
      <c r="W155" s="202">
        <f t="shared" ca="1" si="64"/>
        <v>221438.99999999977</v>
      </c>
      <c r="X155" s="202">
        <f t="shared" ca="1" si="64"/>
        <v>1952542.9999999979</v>
      </c>
      <c r="Y155" s="202">
        <f t="shared" ca="1" si="64"/>
        <v>110455.99999999988</v>
      </c>
      <c r="Z155" s="202">
        <f t="shared" ca="1" si="64"/>
        <v>55222.999999999942</v>
      </c>
      <c r="AA155" s="202">
        <f t="shared" ca="1" si="64"/>
        <v>22021.999999999978</v>
      </c>
      <c r="AB155" s="202">
        <f t="shared" ca="1" si="64"/>
        <v>110086.9999999999</v>
      </c>
      <c r="AC155" s="203">
        <f t="shared" ca="1" si="64"/>
        <v>284538.99999999971</v>
      </c>
      <c r="AD155">
        <f t="shared" si="64"/>
        <v>0</v>
      </c>
      <c r="AE155">
        <f t="shared" ref="F155:AE156" si="78">AE119</f>
        <v>0</v>
      </c>
      <c r="AF155" s="330">
        <f ca="1">SUM(AF145:AF154)</f>
        <v>37456.985000000001</v>
      </c>
      <c r="AG155" s="155"/>
      <c r="AJ155" s="329">
        <f ca="1">SUM(AJ145:AJ154)</f>
        <v>14153.371000000005</v>
      </c>
      <c r="AK155" s="329">
        <f ca="1">SUM(AK145:AK154)</f>
        <v>23303.613999999998</v>
      </c>
    </row>
    <row r="156" spans="2:43" ht="15.75" thickBot="1">
      <c r="B156" s="188" t="str">
        <f t="shared" si="65"/>
        <v>DZK</v>
      </c>
      <c r="C156" s="3"/>
      <c r="D156" s="171" t="str">
        <f t="shared" si="66"/>
        <v>forecasted capacity (kWh/h)</v>
      </c>
      <c r="E156" s="198">
        <f>E120</f>
        <v>0</v>
      </c>
      <c r="F156" s="199">
        <f t="shared" si="78"/>
        <v>0</v>
      </c>
      <c r="G156" s="199">
        <f t="shared" ca="1" si="78"/>
        <v>585865</v>
      </c>
      <c r="H156" s="199">
        <f t="shared" si="78"/>
        <v>0</v>
      </c>
      <c r="I156" s="199">
        <f t="shared" si="78"/>
        <v>0</v>
      </c>
      <c r="J156" s="199">
        <f t="shared" si="78"/>
        <v>0</v>
      </c>
      <c r="K156" s="199">
        <f t="shared" si="78"/>
        <v>0</v>
      </c>
      <c r="L156" s="199">
        <f t="shared" si="78"/>
        <v>0</v>
      </c>
      <c r="M156" s="206">
        <f t="shared" si="78"/>
        <v>0</v>
      </c>
      <c r="N156" s="198">
        <f ca="1">N120</f>
        <v>4635629</v>
      </c>
      <c r="O156" s="199">
        <f t="shared" si="78"/>
        <v>0</v>
      </c>
      <c r="P156" s="199">
        <f t="shared" si="78"/>
        <v>0</v>
      </c>
      <c r="Q156" s="199">
        <f t="shared" si="78"/>
        <v>0</v>
      </c>
      <c r="R156" s="199">
        <f t="shared" ca="1" si="78"/>
        <v>2378663</v>
      </c>
      <c r="S156" s="199">
        <f t="shared" si="78"/>
        <v>0</v>
      </c>
      <c r="T156" s="199">
        <f t="shared" si="78"/>
        <v>0</v>
      </c>
      <c r="U156" s="199">
        <f t="shared" si="78"/>
        <v>0</v>
      </c>
      <c r="V156" s="199">
        <f t="shared" si="78"/>
        <v>0</v>
      </c>
      <c r="W156" s="199">
        <f t="shared" si="78"/>
        <v>0</v>
      </c>
      <c r="X156" s="199">
        <f t="shared" si="78"/>
        <v>0</v>
      </c>
      <c r="Y156" s="199">
        <f t="shared" si="78"/>
        <v>0</v>
      </c>
      <c r="Z156" s="199">
        <f t="shared" si="78"/>
        <v>0</v>
      </c>
      <c r="AA156" s="199">
        <f t="shared" si="78"/>
        <v>0</v>
      </c>
      <c r="AB156" s="199">
        <f t="shared" si="78"/>
        <v>0</v>
      </c>
      <c r="AC156" s="200">
        <f t="shared" si="78"/>
        <v>0</v>
      </c>
      <c r="AD156" s="148">
        <f t="shared" si="78"/>
        <v>0</v>
      </c>
      <c r="AE156" s="233">
        <f t="shared" ca="1" si="78"/>
        <v>93232229</v>
      </c>
      <c r="AG156" s="155"/>
    </row>
    <row r="157" spans="2:43">
      <c r="C157" s="29"/>
      <c r="D157" s="321" t="s">
        <v>208</v>
      </c>
      <c r="E157" s="47">
        <f ca="1">SUM(E155:E156)/1000</f>
        <v>1975.2760000000001</v>
      </c>
      <c r="F157" s="47">
        <f t="shared" ref="F157:AC157" ca="1" si="79">SUM(F155:F156)/1000</f>
        <v>3366.9670000000001</v>
      </c>
      <c r="G157" s="47">
        <f t="shared" ca="1" si="79"/>
        <v>585.86500000000001</v>
      </c>
      <c r="H157" s="47">
        <f ca="1">SUM(H155:H156)/1000</f>
        <v>3189.4960000000001</v>
      </c>
      <c r="I157" s="47">
        <f t="shared" ca="1" si="79"/>
        <v>0</v>
      </c>
      <c r="J157" s="47">
        <f t="shared" ca="1" si="79"/>
        <v>872.84</v>
      </c>
      <c r="K157" s="47">
        <f t="shared" ca="1" si="79"/>
        <v>6683.7470000000003</v>
      </c>
      <c r="L157" s="47">
        <f t="shared" ca="1" si="79"/>
        <v>0</v>
      </c>
      <c r="M157" s="47">
        <f t="shared" ca="1" si="79"/>
        <v>6629.4229999999998</v>
      </c>
      <c r="N157" s="47">
        <f t="shared" ca="1" si="79"/>
        <v>4635.6289999999999</v>
      </c>
      <c r="O157" s="47">
        <f t="shared" ca="1" si="79"/>
        <v>0</v>
      </c>
      <c r="P157" s="47">
        <f t="shared" ca="1" si="79"/>
        <v>0</v>
      </c>
      <c r="Q157" s="47">
        <f t="shared" ca="1" si="79"/>
        <v>0</v>
      </c>
      <c r="R157" s="47">
        <f t="shared" ca="1" si="79"/>
        <v>2378.663</v>
      </c>
      <c r="S157" s="47">
        <f t="shared" ca="1" si="79"/>
        <v>0</v>
      </c>
      <c r="T157" s="47">
        <f t="shared" ca="1" si="79"/>
        <v>21422.794999999998</v>
      </c>
      <c r="U157" s="47">
        <f t="shared" ca="1" si="79"/>
        <v>1111.5029999999988</v>
      </c>
      <c r="V157" s="47">
        <f t="shared" ca="1" si="79"/>
        <v>166.73099999999982</v>
      </c>
      <c r="W157" s="47">
        <f t="shared" ca="1" si="79"/>
        <v>221.43899999999977</v>
      </c>
      <c r="X157" s="47">
        <f t="shared" ca="1" si="79"/>
        <v>1952.5429999999978</v>
      </c>
      <c r="Y157" s="47">
        <f t="shared" ca="1" si="79"/>
        <v>110.45599999999989</v>
      </c>
      <c r="Z157" s="47">
        <f t="shared" ca="1" si="79"/>
        <v>55.222999999999942</v>
      </c>
      <c r="AA157" s="47">
        <f t="shared" ca="1" si="79"/>
        <v>22.021999999999977</v>
      </c>
      <c r="AB157" s="47">
        <f t="shared" ca="1" si="79"/>
        <v>110.0869999999999</v>
      </c>
      <c r="AC157" s="47">
        <f t="shared" ca="1" si="79"/>
        <v>284.5389999999997</v>
      </c>
      <c r="AG157" s="155"/>
    </row>
    <row r="158" spans="2:43">
      <c r="C158" s="29"/>
      <c r="D158" s="321" t="s">
        <v>207</v>
      </c>
      <c r="E158" s="323" cm="1">
        <f t="array" aca="1" ref="E158" ca="1">(SUMPRODUCT(E145:E154,$AD$109:$AD$118)+SUMPRODUCT(E145:E154,$AE$109:$AE$118,AZ109:AZ118))/(SUMPRODUCT($AD$109:$AD$118*(E$145:E$154&lt;&gt;0))+SUMPRODUCT($AE$109:$AE$118*AZ109:AZ118*(E$145:E$154&lt;&gt;0)))</f>
        <v>184.93883548500474</v>
      </c>
      <c r="F158" s="323" cm="1">
        <f t="array" aca="1" ref="F158" ca="1">(SUMPRODUCT(F145:F154,$AD$109:$AD$118)+SUMPRODUCT(F145:F154,$AE$109:$AE$118,BA109:BA118))/(SUMPRODUCT($AD$109:$AD$118*(F$145:F$154&lt;&gt;0))+SUMPRODUCT($AE$109:$AE$118*BA109:BA118*(F$145:F$154&lt;&gt;0)))</f>
        <v>317.38581542168879</v>
      </c>
      <c r="G158" s="323" cm="1">
        <f t="array" aca="1" ref="G158" ca="1">(SUMPRODUCT(G145:G154,$AD$109:$AD$118)+SUMPRODUCT(G145:G154,$AE$109:$AE$118,BB109:BB118))/(SUMPRODUCT($AD$109:$AD$118*(G$145:G$154&lt;&gt;0))+SUMPRODUCT($AE$109:$AE$118*BB109:BB118*(G$145:G$154&lt;&gt;0)))</f>
        <v>350.47022257447242</v>
      </c>
      <c r="H158" s="323" cm="1">
        <f t="array" aca="1" ref="H158" ca="1">(SUMPRODUCT(H145:H154,$AD$109:$AD$118)+SUMPRODUCT(H145:H154,$AE$109:$AE$118,BC109:BC118))/(SUMPRODUCT($AD$109:$AD$118*(H$145:H$154&lt;&gt;0))+SUMPRODUCT($AE$109:$AE$118*BC109:BC118*(H$145:H$154&lt;&gt;0)))</f>
        <v>171.70907602208234</v>
      </c>
      <c r="I158" s="323" cm="1">
        <f t="array" aca="1" ref="I158" ca="1">(SUMPRODUCT(I145:I154,$AD$109:$AD$118)+SUMPRODUCT(I145:I154,$AE$109:$AE$118,BD109:BD118))/(SUMPRODUCT($AD$109:$AD$118*(I$145:I$154&lt;&gt;0))+SUMPRODUCT($AE$109:$AE$118*BD109:BD118*(I$145:I$154&lt;&gt;0)))</f>
        <v>161.70907602208234</v>
      </c>
      <c r="J158" s="323" cm="1">
        <f t="array" aca="1" ref="J158" ca="1">(SUMPRODUCT(J145:J154,$AD$109:$AD$118)+SUMPRODUCT(J145:J154,$AE$109:$AE$118,BE109:BE118))/(SUMPRODUCT($AD$109:$AD$118*(J$145:J$154&lt;&gt;0))+SUMPRODUCT($AE$109:$AE$118*BE109:BE118*(J$145:J$154&lt;&gt;0)))</f>
        <v>283.36800059398786</v>
      </c>
      <c r="K158" s="323" cm="1">
        <f t="array" aca="1" ref="K158" ca="1">(SUMPRODUCT(K145:K154,$AD$109:$AD$118)+SUMPRODUCT(K145:K154,$AE$109:$AE$118,BF109:BF118))/(SUMPRODUCT($AD$109:$AD$118*(K$145:K$154&lt;&gt;0))+SUMPRODUCT($AE$109:$AE$118*BF109:BF118*(K$145:K$154&lt;&gt;0)))</f>
        <v>455.34438002886986</v>
      </c>
      <c r="L158" s="323" cm="1">
        <f t="array" aca="1" ref="L158" ca="1">(SUMPRODUCT(L145:L154,$AD$109:$AD$118)+SUMPRODUCT(L145:L154,$AE$109:$AE$118,BG109:BG118))/(SUMPRODUCT($AD$109:$AD$118*(L$145:L$154&lt;&gt;0))+SUMPRODUCT($AE$109:$AE$118*BG109:BG118*(L$145:L$154&lt;&gt;0)))</f>
        <v>339.84110000086446</v>
      </c>
      <c r="M158" s="323" cm="1">
        <f t="array" aca="1" ref="M158" ca="1">(SUMPRODUCT(M145:M154,$AD$109:$AD$118)+SUMPRODUCT(M145:M154,$AE$109:$AE$118,BH109:BH118))/(SUMPRODUCT($AD$109:$AD$118*(M$145:M$154&lt;&gt;0))+SUMPRODUCT($AE$109:$AE$118*BH109:BH118*(M$145:M$154&lt;&gt;0)))</f>
        <v>154.77017094640803</v>
      </c>
      <c r="N158" s="323" cm="1">
        <f t="array" aca="1" ref="N158" ca="1">(SUMPRODUCT(N145:N154,$AD$109:$AD$118)+SUMPRODUCT(N145:N154,$AE$109:$AE$118,BI109:BI118))/(SUMPRODUCT($AD$109:$AD$118*(N$145:N$154&lt;&gt;0))+SUMPRODUCT($AE$109:$AE$118*BI109:BI118*(N$145:N$154&lt;&gt;0)))</f>
        <v>149.85334505915716</v>
      </c>
      <c r="O158" s="323" cm="1">
        <f t="array" aca="1" ref="O158" ca="1">(SUMPRODUCT(O145:O154,$AD$109:$AD$118)+SUMPRODUCT(O145:O154,$AE$109:$AE$118,BJ109:BJ118))/(SUMPRODUCT($AD$109:$AD$118*(O$145:O$154&lt;&gt;0))+SUMPRODUCT($AE$109:$AE$118*BJ109:BJ118*(O$145:O$154&lt;&gt;0)))</f>
        <v>162.83963404604478</v>
      </c>
      <c r="P158" s="323" cm="1">
        <f t="array" aca="1" ref="P158" ca="1">(SUMPRODUCT(P145:P154,$AD$109:$AD$118)+SUMPRODUCT(P145:P154,$AE$109:$AE$118,BK109:BK118))/(SUMPRODUCT($AD$109:$AD$118*(P$145:P$154&lt;&gt;0))+SUMPRODUCT($AE$109:$AE$118*BK109:BK118*(P$145:P$154&lt;&gt;0)))</f>
        <v>192.71288036787789</v>
      </c>
      <c r="Q158" s="323" cm="1">
        <f t="array" aca="1" ref="Q158" ca="1">(SUMPRODUCT(Q145:Q154,$AD$109:$AD$118)+SUMPRODUCT(Q145:Q154,$AE$109:$AE$118,BL109:BL118))/(SUMPRODUCT($AD$109:$AD$118*(Q$145:Q$154&lt;&gt;0))+SUMPRODUCT($AE$109:$AE$118*BL109:BL118*(Q$145:Q$154&lt;&gt;0)))</f>
        <v>220.95667689033826</v>
      </c>
      <c r="R158" s="323" cm="1">
        <f t="array" aca="1" ref="R158" ca="1">(SUMPRODUCT(R145:R154,$AD$109:$AD$118)+SUMPRODUCT(R145:R154,$AE$109:$AE$118,BM109:BM118))/(SUMPRODUCT($AD$109:$AD$118*(R$145:R$154&lt;&gt;0))+SUMPRODUCT($AE$109:$AE$118*BM109:BM118*(R$145:R$154&lt;&gt;0)))</f>
        <v>230.19022575345031</v>
      </c>
      <c r="S158" s="323" cm="1">
        <f t="array" aca="1" ref="S158" ca="1">(SUMPRODUCT(S145:S154,$AD$109:$AD$118)+SUMPRODUCT(S145:S154,$AE$109:$AE$118,BN109:BN118))/(SUMPRODUCT($AD$109:$AD$118*(S$145:S$154&lt;&gt;0))+SUMPRODUCT($AE$109:$AE$118*BN109:BN118*(S$145:S$154&lt;&gt;0)))</f>
        <v>241.05322441593506</v>
      </c>
      <c r="T158" s="323" cm="1">
        <f t="array" aca="1" ref="T158" ca="1">(SUMPRODUCT(T145:T154,$AD$109:$AD$118)+SUMPRODUCT(T145:T154,$AE$109:$AE$118,BO109:BO118))/(SUMPRODUCT($AD$109:$AD$118*(T$145:T$154&lt;&gt;0))+SUMPRODUCT($AE$109:$AE$118*BO109:BO118*(T$145:T$154&lt;&gt;0)))</f>
        <v>125.73078025128051</v>
      </c>
      <c r="U158" s="323" cm="1">
        <f t="array" aca="1" ref="U158" ca="1">(SUMPRODUCT(U145:U154,$AD$109:$AD$118)+SUMPRODUCT(U145:U154,$AE$109:$AE$118,BP109:BP118))/(SUMPRODUCT($AD$109:$AD$118*(U$145:U$154&lt;&gt;0))+SUMPRODUCT($AE$109:$AE$118*BP109:BP118*(U$145:U$154&lt;&gt;0)))</f>
        <v>173.30337739888427</v>
      </c>
      <c r="V158" s="323" cm="1">
        <f t="array" aca="1" ref="V158" ca="1">(SUMPRODUCT(V145:V154,$AD$109:$AD$118)+SUMPRODUCT(V145:V154,$AE$109:$AE$118,BQ109:BQ118))/(SUMPRODUCT($AD$109:$AD$118*(V$145:V$154&lt;&gt;0))+SUMPRODUCT($AE$109:$AE$118*BQ109:BQ118*(V$145:V$154&lt;&gt;0)))</f>
        <v>216.78688130126326</v>
      </c>
      <c r="W158" s="323" cm="1">
        <f t="array" aca="1" ref="W158" ca="1">(SUMPRODUCT(W145:W154,$AD$109:$AD$118)+SUMPRODUCT(W145:W154,$AE$109:$AE$118,BR109:BR118))/(SUMPRODUCT($AD$109:$AD$118*(W$145:W$154&lt;&gt;0))+SUMPRODUCT($AE$109:$AE$118*BR109:BR118*(W$145:W$154&lt;&gt;0)))</f>
        <v>245.101086040816</v>
      </c>
      <c r="X158" s="323" cm="1">
        <f t="array" aca="1" ref="X158" ca="1">(SUMPRODUCT(X145:X154,$AD$109:$AD$118)+SUMPRODUCT(X145:X154,$AE$109:$AE$118,BS109:BS118))/(SUMPRODUCT($AD$109:$AD$118*(X$145:X$154&lt;&gt;0))+SUMPRODUCT($AE$109:$AE$118*BS109:BS118*(X$145:X$154&lt;&gt;0)))</f>
        <v>265.27697683991443</v>
      </c>
      <c r="Y158" s="323" cm="1">
        <f t="array" aca="1" ref="Y158" ca="1">(SUMPRODUCT(Y145:Y154,$AD$109:$AD$118)+SUMPRODUCT(Y145:Y154,$AE$109:$AE$118,BT109:BT118))/(SUMPRODUCT($AD$109:$AD$118*(Y$145:Y$154&lt;&gt;0))+SUMPRODUCT($AE$109:$AE$118*BT109:BT118*(Y$145:Y$154&lt;&gt;0)))</f>
        <v>278.9625465387295</v>
      </c>
      <c r="Z158" s="323" cm="1">
        <f t="array" aca="1" ref="Z158" ca="1">(SUMPRODUCT(Z145:Z154,$AD$109:$AD$118)+SUMPRODUCT(Z145:Z154,$AE$109:$AE$118,BU109:BU118))/(SUMPRODUCT($AD$109:$AD$118*(Z$145:Z$154&lt;&gt;0))+SUMPRODUCT($AE$109:$AE$118*BU109:BU118*(Z$145:Z$154&lt;&gt;0)))</f>
        <v>301.07198407164384</v>
      </c>
      <c r="AA158" s="323" cm="1">
        <f t="array" aca="1" ref="AA158" ca="1">(SUMPRODUCT(AA145:AA154,$AD$109:$AD$118)+SUMPRODUCT(AA145:AA154,$AE$109:$AE$118,BV109:BV118))/(SUMPRODUCT($AD$109:$AD$118*(AA$145:AA$154&lt;&gt;0))+SUMPRODUCT($AE$109:$AE$118*BV109:BV118*(AA$145:AA$154&lt;&gt;0)))</f>
        <v>321.31236801398461</v>
      </c>
      <c r="AB158" s="323" cm="1">
        <f t="array" aca="1" ref="AB158" ca="1">(SUMPRODUCT(AB145:AB154,$AD$109:$AD$118)+SUMPRODUCT(AB145:AB154,$AE$109:$AE$118,BW109:BW118))/(SUMPRODUCT($AD$109:$AD$118*(AB$145:AB$154&lt;&gt;0))+SUMPRODUCT($AE$109:$AE$118*BW109:BW118*(AB$145:AB$154&lt;&gt;0)))</f>
        <v>334.17220547888331</v>
      </c>
      <c r="AC158" s="323" cm="1">
        <f t="array" aca="1" ref="AC158" ca="1">(SUMPRODUCT(AC145:AC154,$AD$109:$AD$118)+SUMPRODUCT(AC145:AC154,$AE$109:$AE$118,BX109:BX118))/(SUMPRODUCT($AD$109:$AD$118*(AC$145:AC$154&lt;&gt;0))+SUMPRODUCT($AE$109:$AE$118*BX109:BX118*(AC$145:AC$154&lt;&gt;0)))</f>
        <v>360.32734225944637</v>
      </c>
    </row>
    <row r="159" spans="2:43" ht="15.75" thickBot="1">
      <c r="C159" s="29"/>
      <c r="D159" s="321" t="s">
        <v>210</v>
      </c>
      <c r="E159" s="455">
        <f ca="1">E158*E157</f>
        <v>365305.24320147827</v>
      </c>
      <c r="F159" s="455">
        <f ca="1">F158*F157</f>
        <v>1068627.5667929172</v>
      </c>
      <c r="G159" s="455">
        <f t="shared" ref="G159:AC159" ca="1" si="80">G158*G157</f>
        <v>205328.23694859329</v>
      </c>
      <c r="H159" s="455">
        <f t="shared" ca="1" si="80"/>
        <v>547665.41113612754</v>
      </c>
      <c r="I159" s="455">
        <f t="shared" ca="1" si="80"/>
        <v>0</v>
      </c>
      <c r="J159" s="455">
        <f t="shared" ca="1" si="80"/>
        <v>247334.92563845636</v>
      </c>
      <c r="K159" s="455">
        <f t="shared" ca="1" si="80"/>
        <v>3043406.6339848191</v>
      </c>
      <c r="L159" s="455">
        <f t="shared" ca="1" si="80"/>
        <v>0</v>
      </c>
      <c r="M159" s="455">
        <f ca="1">M158*M157</f>
        <v>1026036.9309860491</v>
      </c>
      <c r="N159" s="455">
        <f t="shared" ca="1" si="80"/>
        <v>694664.5121032357</v>
      </c>
      <c r="O159" s="455">
        <f t="shared" ca="1" si="80"/>
        <v>0</v>
      </c>
      <c r="P159" s="455">
        <f t="shared" ca="1" si="80"/>
        <v>0</v>
      </c>
      <c r="Q159" s="455">
        <f t="shared" ca="1" si="80"/>
        <v>0</v>
      </c>
      <c r="R159" s="455">
        <f t="shared" ca="1" si="80"/>
        <v>547544.97296137933</v>
      </c>
      <c r="S159" s="455">
        <f t="shared" ca="1" si="80"/>
        <v>0</v>
      </c>
      <c r="T159" s="455">
        <f t="shared" ca="1" si="80"/>
        <v>2693504.7305132304</v>
      </c>
      <c r="U159" s="455">
        <f t="shared" ca="1" si="80"/>
        <v>192627.22388899184</v>
      </c>
      <c r="V159" s="455">
        <f t="shared" ca="1" si="80"/>
        <v>36145.09350624089</v>
      </c>
      <c r="W159" s="455">
        <f t="shared" ca="1" si="80"/>
        <v>54274.939391792199</v>
      </c>
      <c r="X159" s="455">
        <f t="shared" ca="1" si="80"/>
        <v>517964.70418993646</v>
      </c>
      <c r="Y159" s="455">
        <f t="shared" ca="1" si="80"/>
        <v>30813.087040481874</v>
      </c>
      <c r="Z159" s="455">
        <f t="shared" ca="1" si="80"/>
        <v>16626.098176388372</v>
      </c>
      <c r="AA159" s="455">
        <f t="shared" ca="1" si="80"/>
        <v>7075.940968403962</v>
      </c>
      <c r="AB159" s="455">
        <f t="shared" ca="1" si="80"/>
        <v>36788.015584553796</v>
      </c>
      <c r="AC159" s="455">
        <f t="shared" ca="1" si="80"/>
        <v>102527.18163916051</v>
      </c>
    </row>
    <row r="160" spans="2:43">
      <c r="C160" s="29"/>
      <c r="D160" s="454" t="s">
        <v>211</v>
      </c>
      <c r="E160" s="456">
        <f ca="1">SUMIFS($J$53:$J$98,$F$53:$F$98,E144,$D$53:$D$98,"Exit",$E$53:$E$98,"FZK")</f>
        <v>3.7360454146105768</v>
      </c>
      <c r="F160" s="457">
        <f t="shared" ref="F160:AC160" ca="1" si="81">SUMIFS($J$53:$J$98,$F$53:$F$98,F144,$D$53:$D$98,"Exit",$E$53:$E$98,"FZK")</f>
        <v>7.5586618182948762</v>
      </c>
      <c r="G160" s="457">
        <f t="shared" ca="1" si="81"/>
        <v>7.5586618182948762</v>
      </c>
      <c r="H160" s="457">
        <f t="shared" ca="1" si="81"/>
        <v>3.9674104358946902</v>
      </c>
      <c r="I160" s="457">
        <f t="shared" ca="1" si="81"/>
        <v>0</v>
      </c>
      <c r="J160" s="457">
        <f t="shared" ca="1" si="81"/>
        <v>6.5473368606946538</v>
      </c>
      <c r="K160" s="457">
        <f t="shared" ca="1" si="81"/>
        <v>10.520923454391017</v>
      </c>
      <c r="L160" s="457">
        <f ca="1">SUMIFS($J$53:$J$98,$F$53:$F$98,L144,$D$53:$D$98,"Exit",$E$53:$E$98,"FZK")</f>
        <v>3.7793309091474381</v>
      </c>
      <c r="M160" s="457">
        <f ca="1">SUMIFS($J$53:$J$98,$F$53:$F$98,M144,$D$53:$D$98,"Exit",$E$53:$E$98,"FZK")</f>
        <v>1.8680227073052884</v>
      </c>
      <c r="N160" s="457">
        <f ca="1">SUMIFS($J$53:$J$98,$F$53:$F$98,N144,$D$53:$D$98,"Exit",$E$53:$E$98,"FZK")</f>
        <v>2.0916000000000001</v>
      </c>
      <c r="O160" s="457">
        <f t="shared" ca="1" si="81"/>
        <v>2.0916000000000001</v>
      </c>
      <c r="P160" s="457">
        <f t="shared" ca="1" si="81"/>
        <v>2.0916000000000001</v>
      </c>
      <c r="Q160" s="457">
        <f t="shared" ca="1" si="81"/>
        <v>2.0916000000000001</v>
      </c>
      <c r="R160" s="457">
        <f t="shared" ca="1" si="81"/>
        <v>2.0916000000000001</v>
      </c>
      <c r="S160" s="457">
        <f t="shared" ca="1" si="81"/>
        <v>2.0916000000000001</v>
      </c>
      <c r="T160" s="457">
        <f t="shared" ca="1" si="81"/>
        <v>2.0916000000000001</v>
      </c>
      <c r="U160" s="457">
        <f t="shared" ca="1" si="81"/>
        <v>2.0916000000000001</v>
      </c>
      <c r="V160" s="457">
        <f t="shared" ca="1" si="81"/>
        <v>2.0916000000000001</v>
      </c>
      <c r="W160" s="457">
        <f t="shared" ca="1" si="81"/>
        <v>2.0916000000000001</v>
      </c>
      <c r="X160" s="457">
        <f t="shared" ca="1" si="81"/>
        <v>2.0916000000000001</v>
      </c>
      <c r="Y160" s="457">
        <f t="shared" ca="1" si="81"/>
        <v>2.0916000000000001</v>
      </c>
      <c r="Z160" s="457">
        <f t="shared" ca="1" si="81"/>
        <v>7.680818605912572</v>
      </c>
      <c r="AA160" s="457">
        <f t="shared" ca="1" si="81"/>
        <v>7.680818605912572</v>
      </c>
      <c r="AB160" s="457">
        <f t="shared" ca="1" si="81"/>
        <v>7.680818605912572</v>
      </c>
      <c r="AC160" s="458">
        <f t="shared" ca="1" si="81"/>
        <v>7.680818605912572</v>
      </c>
    </row>
    <row r="161" spans="2:29" ht="15.75" thickBot="1">
      <c r="C161" s="29"/>
      <c r="D161" s="454" t="s">
        <v>212</v>
      </c>
      <c r="E161" s="459">
        <f>SUMIFS($J$53:$J$98,$F$53:$F$98,E144,$D$53:$D$98,"Exit",$E$53:$E$98,"DZK")</f>
        <v>0</v>
      </c>
      <c r="F161" s="460">
        <f>SUMIFS($J$53:$J$98,$F$53:$F$98,F144,$D$53:$D$98,"Exit",$E$53:$E$98,"DZK")</f>
        <v>0</v>
      </c>
      <c r="G161" s="460">
        <f t="shared" ref="G161:AC161" ca="1" si="82">SUMIFS($J$53:$J$98,$F$53:$F$98,G144,$D$53:$D$98,"Exit",$E$53:$E$98,"DZK")</f>
        <v>6.8027956364653885</v>
      </c>
      <c r="H161" s="460">
        <f t="shared" si="82"/>
        <v>0</v>
      </c>
      <c r="I161" s="460">
        <f t="shared" si="82"/>
        <v>0</v>
      </c>
      <c r="J161" s="460">
        <f t="shared" si="82"/>
        <v>0</v>
      </c>
      <c r="K161" s="460">
        <f t="shared" si="82"/>
        <v>0</v>
      </c>
      <c r="L161" s="460">
        <f t="shared" si="82"/>
        <v>0</v>
      </c>
      <c r="M161" s="460">
        <f t="shared" si="82"/>
        <v>0</v>
      </c>
      <c r="N161" s="460">
        <f t="shared" ca="1" si="82"/>
        <v>1.8824400000000001</v>
      </c>
      <c r="O161" s="460">
        <f t="shared" si="82"/>
        <v>0</v>
      </c>
      <c r="P161" s="460">
        <f t="shared" si="82"/>
        <v>0</v>
      </c>
      <c r="Q161" s="460">
        <f t="shared" si="82"/>
        <v>0</v>
      </c>
      <c r="R161" s="460">
        <f ca="1">SUMIFS($J$53:$J$98,$F$53:$F$98,R144,$D$53:$D$98,"Exit",$E$53:$E$98,"DZK")</f>
        <v>1.8824400000000001</v>
      </c>
      <c r="S161" s="460">
        <f t="shared" si="82"/>
        <v>0</v>
      </c>
      <c r="T161" s="460">
        <f t="shared" si="82"/>
        <v>0</v>
      </c>
      <c r="U161" s="460">
        <f t="shared" si="82"/>
        <v>0</v>
      </c>
      <c r="V161" s="460">
        <f t="shared" si="82"/>
        <v>0</v>
      </c>
      <c r="W161" s="460">
        <f t="shared" si="82"/>
        <v>0</v>
      </c>
      <c r="X161" s="460">
        <f t="shared" si="82"/>
        <v>0</v>
      </c>
      <c r="Y161" s="460">
        <f t="shared" si="82"/>
        <v>0</v>
      </c>
      <c r="Z161" s="460">
        <f t="shared" si="82"/>
        <v>0</v>
      </c>
      <c r="AA161" s="460">
        <f t="shared" si="82"/>
        <v>0</v>
      </c>
      <c r="AB161" s="460">
        <f t="shared" si="82"/>
        <v>0</v>
      </c>
      <c r="AC161" s="461">
        <f t="shared" si="82"/>
        <v>0</v>
      </c>
    </row>
    <row r="162" spans="2:29">
      <c r="E162" s="5"/>
      <c r="F162" s="5"/>
      <c r="G162" s="5"/>
      <c r="J162" s="5"/>
      <c r="K162" s="5"/>
      <c r="L162" s="5"/>
      <c r="M162" s="5"/>
      <c r="N162" s="5"/>
      <c r="O162" s="5"/>
      <c r="P162" s="5"/>
      <c r="Q162" s="5"/>
      <c r="R162" s="5"/>
      <c r="S162" s="5"/>
      <c r="T162" s="5"/>
      <c r="U162" s="5"/>
      <c r="V162" s="5"/>
      <c r="W162" s="5"/>
      <c r="X162" s="5"/>
      <c r="Y162" s="5"/>
      <c r="Z162" s="5"/>
      <c r="AA162" s="5"/>
      <c r="AB162" s="5"/>
      <c r="AC162" s="5"/>
    </row>
    <row r="163" spans="2:29">
      <c r="E163" s="5" t="s">
        <v>352</v>
      </c>
      <c r="F163" s="5"/>
      <c r="G163" s="5" t="s">
        <v>353</v>
      </c>
      <c r="J163" s="5"/>
      <c r="K163" s="5"/>
      <c r="L163" s="5"/>
      <c r="M163" s="5"/>
      <c r="N163" s="5"/>
      <c r="O163" s="5"/>
      <c r="P163" s="5"/>
      <c r="Q163" s="5"/>
      <c r="R163" s="5"/>
      <c r="S163" s="5"/>
      <c r="T163" s="5"/>
      <c r="U163" s="5"/>
      <c r="V163" s="5"/>
      <c r="W163" s="5"/>
      <c r="X163" s="5"/>
      <c r="Y163" s="5"/>
      <c r="Z163" s="5"/>
      <c r="AA163" s="5"/>
      <c r="AB163" s="5"/>
      <c r="AC163" s="5"/>
    </row>
    <row r="164" spans="2:29">
      <c r="B164" s="52" t="s">
        <v>19</v>
      </c>
      <c r="C164" s="23"/>
      <c r="D164" s="24" t="s">
        <v>216</v>
      </c>
      <c r="E164" s="25">
        <f ca="1">SUMPRODUCT(AJ145:AJ154,$AO$145:$AO$154)*1000</f>
        <v>28031839.088408891</v>
      </c>
      <c r="F164" s="42">
        <f ca="1">E164/(E164+E165)</f>
        <v>0.37785665343860442</v>
      </c>
      <c r="G164" s="5">
        <v>33633481.733204231</v>
      </c>
      <c r="H164" s="5">
        <f t="shared" ref="H164:H169" ca="1" si="83">G164-E164</f>
        <v>5601642.6447953396</v>
      </c>
    </row>
    <row r="165" spans="2:29">
      <c r="B165" s="52" t="s">
        <v>19</v>
      </c>
      <c r="C165" s="23"/>
      <c r="D165" s="24" t="s">
        <v>217</v>
      </c>
      <c r="E165" s="27">
        <f ca="1">SUMPRODUCT(AK145:AK154,$AO$145:$AO$154)*1000</f>
        <v>46154598.634232968</v>
      </c>
      <c r="F165" s="42">
        <f ca="1">1-F164</f>
        <v>0.62214334656139558</v>
      </c>
      <c r="G165" s="5">
        <v>83641967.511411428</v>
      </c>
      <c r="H165" s="5">
        <f t="shared" ca="1" si="83"/>
        <v>37487368.87717846</v>
      </c>
    </row>
    <row r="166" spans="2:29">
      <c r="B166" s="52" t="s">
        <v>19</v>
      </c>
      <c r="C166" s="23"/>
      <c r="D166" s="24" t="s">
        <v>218</v>
      </c>
      <c r="E166" s="25">
        <f ca="1">SUMPRODUCT($E$155:$AC$155*$E$160:$AC$160*($E$142:$AC$142="Intra"))+SUMPRODUCT($E$156:$AC$156*$E$161:$AC$161*($E$142:$AC$142="Intra"))</f>
        <v>69087942.166070566</v>
      </c>
      <c r="F166" s="42">
        <f ca="1">E166/(E166+E167)</f>
        <v>0.33379870097797942</v>
      </c>
      <c r="G166" s="5">
        <v>20990369.854642462</v>
      </c>
      <c r="H166" s="5">
        <f t="shared" ca="1" si="83"/>
        <v>-48097572.3114281</v>
      </c>
    </row>
    <row r="167" spans="2:29">
      <c r="B167" s="52" t="s">
        <v>19</v>
      </c>
      <c r="C167" s="34"/>
      <c r="D167" s="35" t="s">
        <v>219</v>
      </c>
      <c r="E167" s="25">
        <f ca="1">SUMPRODUCT($E$155:$AC$155*$E$160:$AC$160*($E$142:$AC$142="Cross"))+SUMPRODUCT($E$156:$AC$156*$E$161:$AC$161*($E$142:$AC$142="Cross"))</f>
        <v>137886926.11128759</v>
      </c>
      <c r="F167" s="42">
        <f ca="1">1-F166</f>
        <v>0.66620129902202052</v>
      </c>
      <c r="G167" s="5">
        <v>111734180.90074188</v>
      </c>
      <c r="H167" s="5">
        <f t="shared" ca="1" si="83"/>
        <v>-26152745.210545719</v>
      </c>
    </row>
    <row r="168" spans="2:29">
      <c r="B168" s="52" t="s">
        <v>19</v>
      </c>
      <c r="C168" s="38"/>
      <c r="D168" s="39" t="s">
        <v>64</v>
      </c>
      <c r="E168" s="36">
        <f ca="1">E164+E166</f>
        <v>97119781.254479453</v>
      </c>
      <c r="F168" s="9">
        <f ca="1">E168/(E168+E169)</f>
        <v>0.34542370938652367</v>
      </c>
      <c r="G168" s="5">
        <v>54623851.587846696</v>
      </c>
      <c r="H168" s="5">
        <f t="shared" ca="1" si="83"/>
        <v>-42495929.666632757</v>
      </c>
    </row>
    <row r="169" spans="2:29">
      <c r="B169" s="52" t="s">
        <v>19</v>
      </c>
      <c r="C169" s="37"/>
      <c r="D169" s="30" t="s">
        <v>65</v>
      </c>
      <c r="E169" s="26">
        <f ca="1">E165+E167</f>
        <v>184041524.74552056</v>
      </c>
      <c r="F169" s="54">
        <f ca="1">1-F168</f>
        <v>0.65457629061347633</v>
      </c>
      <c r="G169" s="5">
        <v>195376148.4121533</v>
      </c>
      <c r="H169" s="5">
        <f t="shared" ca="1" si="83"/>
        <v>11334623.666632742</v>
      </c>
    </row>
    <row r="170" spans="2:29">
      <c r="C170" s="22"/>
      <c r="D170" s="22"/>
      <c r="E170" s="256">
        <f ca="1">E169+E168-costs_GCA_capa-costs_TAG_capa</f>
        <v>0</v>
      </c>
      <c r="G170" s="5"/>
    </row>
    <row r="171" spans="2:29">
      <c r="B171" s="52" t="s">
        <v>220</v>
      </c>
      <c r="C171" s="34"/>
      <c r="D171" s="35" t="s">
        <v>66</v>
      </c>
      <c r="E171" s="33">
        <f ca="1">SUM(AL145:AL154)</f>
        <v>2032351.5109590236</v>
      </c>
      <c r="F171" s="9">
        <f ca="1">E171/(E171+E174)</f>
        <v>0.23580507053198474</v>
      </c>
      <c r="G171" s="5"/>
      <c r="J171" s="18"/>
      <c r="K171" s="21" t="s">
        <v>74</v>
      </c>
      <c r="L171" s="16"/>
    </row>
    <row r="172" spans="2:29">
      <c r="B172" s="52" t="s">
        <v>220</v>
      </c>
      <c r="C172" s="23"/>
      <c r="D172" s="24" t="s">
        <v>67</v>
      </c>
      <c r="E172" s="33">
        <f ca="1">SUMIFS($E$159:$AC$159,$E$142:$AC$142,"Intra")</f>
        <v>4930556.4999637948</v>
      </c>
      <c r="F172" s="9">
        <f ca="1">E172/(E172+E175)</f>
        <v>0.43120900480589969</v>
      </c>
      <c r="G172" s="5"/>
      <c r="J172" s="28" t="s">
        <v>69</v>
      </c>
      <c r="K172" s="46">
        <f ca="1">E168/E173</f>
        <v>13.948163770385332</v>
      </c>
      <c r="L172" s="15" t="s">
        <v>80</v>
      </c>
    </row>
    <row r="173" spans="2:29">
      <c r="B173" s="52" t="s">
        <v>220</v>
      </c>
      <c r="C173" s="326"/>
      <c r="D173" s="314" t="s">
        <v>68</v>
      </c>
      <c r="E173" s="26">
        <f ca="1">E171+E172</f>
        <v>6962908.0109228184</v>
      </c>
      <c r="F173" s="9"/>
      <c r="G173" s="5"/>
      <c r="J173" s="28" t="s">
        <v>71</v>
      </c>
      <c r="K173" s="46">
        <f ca="1">E169/E176</f>
        <v>14.05956297677975</v>
      </c>
      <c r="L173" s="15" t="s">
        <v>80</v>
      </c>
    </row>
    <row r="174" spans="2:29">
      <c r="B174" s="52" t="s">
        <v>220</v>
      </c>
      <c r="C174" s="327"/>
      <c r="D174" s="315" t="s">
        <v>70</v>
      </c>
      <c r="E174" s="27">
        <f ca="1">SUM(AM145:AM154)</f>
        <v>6586426.3057094868</v>
      </c>
      <c r="F174" s="9">
        <f ca="1">1-F171</f>
        <v>0.76419492946801526</v>
      </c>
      <c r="G174" s="5"/>
      <c r="J174" s="28" t="s">
        <v>81</v>
      </c>
      <c r="K174" s="19">
        <f ca="1">2*(ABS(K172-K173))/(K172+K173)</f>
        <v>7.954890977054695E-3</v>
      </c>
      <c r="L174" s="16"/>
    </row>
    <row r="175" spans="2:29">
      <c r="B175" s="52" t="s">
        <v>220</v>
      </c>
      <c r="C175" s="327"/>
      <c r="D175" s="315" t="s">
        <v>72</v>
      </c>
      <c r="E175" s="33">
        <f ca="1">SUMIFS($E$159:$AC$159,$E$142:$AC$142,"Cross")</f>
        <v>6503704.94868844</v>
      </c>
      <c r="F175" s="9">
        <f ca="1">1-F172</f>
        <v>0.56879099519410037</v>
      </c>
      <c r="G175" s="5"/>
      <c r="J175" s="1065" t="str">
        <f ca="1">IF(K174&lt;0.1,"justification not required","justification required!")</f>
        <v>justification not required</v>
      </c>
      <c r="K175" s="1066"/>
      <c r="L175" s="16"/>
    </row>
    <row r="176" spans="2:29">
      <c r="B176" s="52" t="s">
        <v>220</v>
      </c>
      <c r="C176" s="328"/>
      <c r="D176" s="313" t="s">
        <v>73</v>
      </c>
      <c r="E176" s="26">
        <f ca="1">E174+E175</f>
        <v>13090131.254397927</v>
      </c>
      <c r="G176" s="5"/>
    </row>
    <row r="177" spans="1:48">
      <c r="E177" s="256">
        <f ca="1">E173+E176-SUM(E159:AC159,AL145:AM154)</f>
        <v>0</v>
      </c>
    </row>
    <row r="179" spans="1:48" ht="18.75">
      <c r="A179" s="60" t="s">
        <v>257</v>
      </c>
      <c r="B179" s="60"/>
      <c r="C179" s="60"/>
      <c r="D179" s="60"/>
      <c r="E179" s="60"/>
      <c r="F179" s="60"/>
      <c r="G179" s="60"/>
      <c r="H179" s="61"/>
      <c r="I179" s="61"/>
      <c r="J179" s="60"/>
      <c r="K179" s="60"/>
      <c r="L179" s="60"/>
      <c r="M179" s="60"/>
      <c r="N179" s="60"/>
      <c r="O179" s="60"/>
      <c r="P179" s="60"/>
      <c r="Q179" s="60"/>
      <c r="R179" s="60"/>
      <c r="S179" s="60"/>
      <c r="T179" s="60"/>
      <c r="U179" s="60"/>
      <c r="V179" s="60"/>
      <c r="W179" s="60"/>
      <c r="X179" s="60"/>
      <c r="Y179" s="60"/>
      <c r="Z179" s="60"/>
      <c r="AA179" s="60"/>
      <c r="AB179" s="60"/>
      <c r="AC179" s="60"/>
      <c r="AD179" s="60"/>
      <c r="AE179" s="60"/>
      <c r="AF179" s="60"/>
      <c r="AG179" s="60"/>
      <c r="AH179" s="60"/>
      <c r="AI179" s="60"/>
      <c r="AJ179" s="60"/>
      <c r="AK179" s="60"/>
      <c r="AL179" s="60"/>
      <c r="AM179" s="60"/>
      <c r="AN179" s="60"/>
      <c r="AO179" s="60"/>
      <c r="AP179" s="60"/>
      <c r="AQ179" s="60"/>
      <c r="AR179" s="60"/>
      <c r="AS179" s="60"/>
      <c r="AT179" s="60"/>
      <c r="AU179" s="60"/>
      <c r="AV179" s="60"/>
    </row>
    <row r="181" spans="1:48">
      <c r="B181" s="13" t="s">
        <v>276</v>
      </c>
      <c r="C181" s="519">
        <f ca="1">C4</f>
        <v>2026</v>
      </c>
    </row>
    <row r="182" spans="1:48" outlineLevel="1">
      <c r="B182" s="13"/>
      <c r="C182" s="432"/>
    </row>
    <row r="183" spans="1:48" outlineLevel="1">
      <c r="B183" s="13"/>
      <c r="C183" s="13"/>
    </row>
    <row r="184" spans="1:48" outlineLevel="1">
      <c r="B184" s="13"/>
      <c r="C184" s="13"/>
      <c r="D184" s="55" t="s">
        <v>0</v>
      </c>
      <c r="E184" s="55" t="s">
        <v>13</v>
      </c>
    </row>
    <row r="185" spans="1:48" outlineLevel="1">
      <c r="B185" s="13" t="s">
        <v>21</v>
      </c>
      <c r="C185" s="13" t="s">
        <v>22</v>
      </c>
      <c r="D185" s="434">
        <f ca="1">(OFFSET(Tariff_SimCalculation!O106,,$C$181-rpm_start_year)+OFFSET(Tariff_SimCalculation!O107,,$C$181-rpm_start_year))/1000</f>
        <v>4120916.0329999998</v>
      </c>
      <c r="E185" s="434">
        <f ca="1">OFFSET(Tariff_SimCalculation!O122,,$C$181-rpm_start_year)/1000</f>
        <v>0</v>
      </c>
      <c r="G185" s="5"/>
    </row>
    <row r="186" spans="1:48" outlineLevel="1">
      <c r="B186" s="13" t="s">
        <v>21</v>
      </c>
      <c r="C186" s="13" t="s">
        <v>23</v>
      </c>
      <c r="D186" s="434">
        <f ca="1">(OFFSET(Tariff_SimCalculation!O108,,$C$181-rpm_start_year))/1000</f>
        <v>60068188.115999997</v>
      </c>
      <c r="E186" s="434"/>
      <c r="G186" s="5"/>
      <c r="J186" s="433"/>
    </row>
    <row r="187" spans="1:48" outlineLevel="1">
      <c r="B187" s="13" t="s">
        <v>21</v>
      </c>
      <c r="C187" s="13" t="s">
        <v>24</v>
      </c>
      <c r="D187" s="434">
        <f ca="1">(OFFSET(Tariff_SimCalculation!O109,,$C$181-rpm_start_year)+OFFSET(Tariff_SimCalculation!O110,,$C$181-rpm_start_year))/1000</f>
        <v>7165934.04</v>
      </c>
      <c r="E187" s="434"/>
      <c r="G187" s="5"/>
    </row>
    <row r="188" spans="1:48" outlineLevel="1">
      <c r="B188" s="13" t="s">
        <v>21</v>
      </c>
      <c r="C188" s="13" t="s">
        <v>39</v>
      </c>
      <c r="D188" s="434"/>
      <c r="E188" s="434"/>
      <c r="G188" s="5"/>
    </row>
    <row r="189" spans="1:48" outlineLevel="1">
      <c r="B189" s="13" t="s">
        <v>21</v>
      </c>
      <c r="C189" s="13" t="s">
        <v>34</v>
      </c>
      <c r="D189" s="434"/>
      <c r="E189" s="434"/>
      <c r="G189" s="5"/>
    </row>
    <row r="190" spans="1:48" outlineLevel="1">
      <c r="B190" s="13" t="s">
        <v>21</v>
      </c>
      <c r="C190" s="13" t="s">
        <v>33</v>
      </c>
      <c r="D190" s="434"/>
      <c r="E190" s="434"/>
      <c r="G190" s="5"/>
    </row>
    <row r="191" spans="1:48" outlineLevel="1">
      <c r="B191" s="13" t="s">
        <v>21</v>
      </c>
      <c r="C191" s="13" t="s">
        <v>20</v>
      </c>
      <c r="D191" s="434"/>
      <c r="E191" s="434">
        <f ca="1">OFFSET(Tariff_SimCalculation!O125,,$C$181-rpm_start_year)/1000</f>
        <v>10071000</v>
      </c>
      <c r="G191" s="5"/>
    </row>
    <row r="192" spans="1:48" outlineLevel="1">
      <c r="B192" s="13" t="s">
        <v>21</v>
      </c>
      <c r="C192" s="13" t="s">
        <v>56</v>
      </c>
      <c r="D192" s="434">
        <f ca="1">((OFFSET(Tariff_SimCalculation!H119,,$C$181-rpm_start_year))/1000)*(OFFSET(Tariff_SimCalculation!H73,,$C$181-rpm_start_year)/SUM(OFFSET(Tariff_SimCalculation!H73:H74,,$C$181-rpm_start_year)))</f>
        <v>0</v>
      </c>
      <c r="E192" s="434"/>
      <c r="G192" s="5"/>
    </row>
    <row r="193" spans="2:7" outlineLevel="1">
      <c r="B193" s="13" t="s">
        <v>21</v>
      </c>
      <c r="C193" s="13" t="s">
        <v>25</v>
      </c>
      <c r="D193" s="434">
        <f ca="1">((OFFSET(Tariff_SimCalculation!O119,,$C$181-rpm_start_year))/1000)*(OFFSET(Tariff_SimCalculation!O74,,$C$181-rpm_start_year)/SUM(OFFSET(Tariff_SimCalculation!O73:O74,,$C$181-rpm_start_year)))</f>
        <v>14807971.364</v>
      </c>
      <c r="E193" s="434"/>
      <c r="G193" s="5"/>
    </row>
    <row r="194" spans="2:7" outlineLevel="1">
      <c r="B194" s="13" t="s">
        <v>21</v>
      </c>
      <c r="C194" s="13" t="s">
        <v>35</v>
      </c>
      <c r="D194" s="434">
        <f ca="1">(OFFSET(Tariff_SimCalculation!O118,,$C$181-rpm_start_year))/1000</f>
        <v>1839918.1040000001</v>
      </c>
      <c r="E194" s="434"/>
      <c r="G194" s="5"/>
    </row>
    <row r="195" spans="2:7" outlineLevel="1">
      <c r="B195" s="13" t="s">
        <v>30</v>
      </c>
      <c r="C195" s="13" t="s">
        <v>22</v>
      </c>
      <c r="D195" s="434">
        <f ca="1">(OFFSET(Tariff_SimCalculation!O111,,$C$181-rpm_start_year))/1000</f>
        <v>0</v>
      </c>
      <c r="E195" s="434"/>
      <c r="G195" s="5"/>
    </row>
    <row r="196" spans="2:7" outlineLevel="1">
      <c r="B196" s="13" t="s">
        <v>30</v>
      </c>
      <c r="C196" s="13" t="s">
        <v>23</v>
      </c>
      <c r="D196" s="434">
        <f ca="1">(OFFSET(Tariff_SimCalculation!O114,,$C$181-rpm_start_year))/1000</f>
        <v>0</v>
      </c>
      <c r="E196" s="434"/>
      <c r="G196" s="5"/>
    </row>
    <row r="197" spans="2:7" outlineLevel="1">
      <c r="B197" s="13" t="s">
        <v>30</v>
      </c>
      <c r="C197" s="13" t="s">
        <v>24</v>
      </c>
      <c r="D197" s="434">
        <f ca="1">(OFFSET(Tariff_SimCalculation!O116,,$C$181-rpm_start_year)+OFFSET(Tariff_SimCalculation!O117,,$C$181-rpm_start_year))/1000</f>
        <v>0</v>
      </c>
      <c r="E197" s="434"/>
      <c r="G197" s="5"/>
    </row>
    <row r="198" spans="2:7" outlineLevel="1">
      <c r="B198" s="13" t="s">
        <v>30</v>
      </c>
      <c r="C198" s="13" t="s">
        <v>39</v>
      </c>
      <c r="D198" s="434">
        <f ca="1">(OFFSET(Tariff_SimCalculation!O112,,$C$181-rpm_start_year))/1000</f>
        <v>23499000</v>
      </c>
      <c r="E198" s="434"/>
      <c r="G198" s="5"/>
    </row>
    <row r="199" spans="2:7" outlineLevel="1">
      <c r="B199" s="13" t="s">
        <v>30</v>
      </c>
      <c r="C199" s="13" t="s">
        <v>34</v>
      </c>
      <c r="D199" s="434">
        <f ca="1">(OFFSET(Tariff_SimCalculation!O115,,$C$181-rpm_start_year))/1000</f>
        <v>0</v>
      </c>
      <c r="E199" s="434"/>
      <c r="G199" s="5"/>
    </row>
    <row r="200" spans="2:7" outlineLevel="1">
      <c r="B200" s="13" t="s">
        <v>30</v>
      </c>
      <c r="C200" s="13" t="s">
        <v>33</v>
      </c>
      <c r="D200" s="434">
        <f ca="1">(OFFSET(Tariff_SimCalculation!O113,,$C$181-rpm_start_year))/1000</f>
        <v>6550835.1160000004</v>
      </c>
      <c r="E200" s="434"/>
      <c r="G200" s="5"/>
    </row>
    <row r="201" spans="2:7" outlineLevel="1">
      <c r="B201" s="13" t="s">
        <v>30</v>
      </c>
      <c r="C201" s="13" t="s">
        <v>20</v>
      </c>
      <c r="E201" s="434">
        <f ca="1">OFFSET(Tariff_SimCalculation!O123,,$C$181-rpm_start_year)/1000</f>
        <v>16785000</v>
      </c>
      <c r="G201" s="5"/>
    </row>
    <row r="202" spans="2:7" outlineLevel="1">
      <c r="B202" s="13" t="s">
        <v>30</v>
      </c>
      <c r="C202" s="13" t="s">
        <v>56</v>
      </c>
      <c r="D202" s="434">
        <f ca="1">((OFFSET(Tariff_SimCalculation!O121,,$C$181-rpm_start_year))/1000)*(OFFSET(Tariff_SimCalculation!O75,,$C$181-rpm_start_year)/SUM(OFFSET(Tariff_SimCalculation!O75:O76,,$C$181-rpm_start_year)))</f>
        <v>0</v>
      </c>
      <c r="E202" s="434"/>
      <c r="G202" s="5"/>
    </row>
    <row r="203" spans="2:7" outlineLevel="1">
      <c r="B203" s="335" t="s">
        <v>30</v>
      </c>
      <c r="C203" s="335" t="s">
        <v>25</v>
      </c>
      <c r="D203" s="520">
        <f ca="1">((OFFSET(Tariff_SimCalculation!O121,,$C$181-rpm_start_year))/1000)*(OFFSET(Tariff_SimCalculation!O76,,$C$181-rpm_start_year)/SUM(OFFSET(Tariff_SimCalculation!O75:O76,,$C$181-rpm_start_year)))</f>
        <v>14807971.364</v>
      </c>
      <c r="E203" s="520"/>
      <c r="G203" s="5"/>
    </row>
    <row r="204" spans="2:7" outlineLevel="1">
      <c r="B204" s="13" t="s">
        <v>30</v>
      </c>
      <c r="C204" s="13" t="s">
        <v>40</v>
      </c>
      <c r="D204" s="434">
        <f ca="1">((OFFSET(Tariff_SimCalculation!$O$120,,$C$181-rpm_start_year))/1000)*(SUM(OFFSET(Tariff_SimCalculation!O83:O84,,$C$181-rpm_start_year))/SUM(OFFSET(Tariff_SimCalculation!$O$83:$O$91,,$C$181-rpm_start_year)))</f>
        <v>10342766.256322246</v>
      </c>
      <c r="E204" s="434"/>
      <c r="G204" s="5"/>
    </row>
    <row r="205" spans="2:7" outlineLevel="1">
      <c r="B205" s="13" t="s">
        <v>30</v>
      </c>
      <c r="C205" s="13" t="s">
        <v>41</v>
      </c>
      <c r="D205" s="434">
        <f ca="1">((OFFSET(Tariff_SimCalculation!$O$120,,$C$181-rpm_start_year))/1000)*(SUM(OFFSET(Tariff_SimCalculation!O85,,$C$181-rpm_start_year))/SUM(OFFSET(Tariff_SimCalculation!$O$83:$O$91,,$C$181-rpm_start_year)))</f>
        <v>0</v>
      </c>
      <c r="E205" s="434"/>
      <c r="G205" s="5"/>
    </row>
    <row r="206" spans="2:7" outlineLevel="1">
      <c r="B206" s="13" t="s">
        <v>30</v>
      </c>
      <c r="C206" s="13" t="s">
        <v>42</v>
      </c>
      <c r="D206" s="434">
        <f ca="1">((OFFSET(Tariff_SimCalculation!$O$120,,$C$181-rpm_start_year))/1000)*(SUM(OFFSET(Tariff_SimCalculation!O86,,$C$181-rpm_start_year))/SUM(OFFSET(Tariff_SimCalculation!$O$83:$O$91,,$C$181-rpm_start_year)))</f>
        <v>0</v>
      </c>
      <c r="E206" s="434"/>
      <c r="G206" s="5"/>
    </row>
    <row r="207" spans="2:7" outlineLevel="1">
      <c r="B207" s="13" t="s">
        <v>30</v>
      </c>
      <c r="C207" s="13" t="s">
        <v>43</v>
      </c>
      <c r="D207" s="434">
        <f ca="1">((OFFSET(Tariff_SimCalculation!$O$120,,$C$181-rpm_start_year))/1000)*(SUM(OFFSET(Tariff_SimCalculation!O87,,$C$181-rpm_start_year))/SUM(OFFSET(Tariff_SimCalculation!$O$83:$O$91,,$C$181-rpm_start_year)))</f>
        <v>0</v>
      </c>
      <c r="E207" s="434"/>
      <c r="G207" s="5"/>
    </row>
    <row r="208" spans="2:7" outlineLevel="1">
      <c r="B208" s="13" t="s">
        <v>30</v>
      </c>
      <c r="C208" s="13" t="s">
        <v>44</v>
      </c>
      <c r="D208" s="434">
        <f ca="1">((OFFSET(Tariff_SimCalculation!$O$120,,$C$181-rpm_start_year))/1000)*(SUM(OFFSET(Tariff_SimCalculation!O88:O89,,$C$181-rpm_start_year))/SUM(OFFSET(Tariff_SimCalculation!$O$83:$O$91,,$C$181-rpm_start_year)))</f>
        <v>5307145.0307093691</v>
      </c>
      <c r="E208" s="434"/>
      <c r="G208" s="5"/>
    </row>
    <row r="209" spans="2:38" outlineLevel="1">
      <c r="B209" s="13" t="s">
        <v>30</v>
      </c>
      <c r="C209" s="13" t="s">
        <v>45</v>
      </c>
      <c r="D209" s="434">
        <f ca="1">((OFFSET(Tariff_SimCalculation!$O$120,,$C$181-rpm_start_year))/1000)*(SUM(OFFSET(Tariff_SimCalculation!O90,,$C$181-rpm_start_year))/SUM(OFFSET(Tariff_SimCalculation!$O$83:$O$91,,$C$181-rpm_start_year)))</f>
        <v>0</v>
      </c>
      <c r="E209" s="434"/>
      <c r="G209" s="5"/>
    </row>
    <row r="210" spans="2:38" outlineLevel="1">
      <c r="B210" s="13" t="s">
        <v>30</v>
      </c>
      <c r="C210" s="13" t="s">
        <v>46</v>
      </c>
      <c r="D210" s="434">
        <f ca="1">((OFFSET(Tariff_SimCalculation!$O$120,,$C$181-rpm_start_year))/1000)*(SUM(OFFSET(Tariff_SimCalculation!O91,,$C$181-rpm_start_year))/SUM(OFFSET(Tariff_SimCalculation!$O$83:$O$91,,$C$181-rpm_start_year)))</f>
        <v>47797388.712968387</v>
      </c>
      <c r="E210" s="434"/>
      <c r="G210" s="5"/>
    </row>
    <row r="211" spans="2:38" outlineLevel="1">
      <c r="B211" s="13" t="s">
        <v>30</v>
      </c>
      <c r="C211" s="13" t="s">
        <v>47</v>
      </c>
      <c r="D211" s="434"/>
      <c r="E211" s="434">
        <f ca="1">((OFFSET(Tariff_SimCalculation!$O$124,,$C$181-rpm_start_year))/1000)*(SUM(OFFSET(Tariff_SimCalculation!O92,,$C$181-rpm_start_year))/SUM(OFFSET(Tariff_SimCalculation!$O$92:$O$100,,$C$181-rpm_start_year)))</f>
        <v>2186104.8793942709</v>
      </c>
      <c r="G211" s="5"/>
    </row>
    <row r="212" spans="2:38" outlineLevel="1">
      <c r="B212" s="13" t="s">
        <v>30</v>
      </c>
      <c r="C212" s="13" t="s">
        <v>48</v>
      </c>
      <c r="D212" s="434"/>
      <c r="E212" s="434">
        <f ca="1">((OFFSET(Tariff_SimCalculation!$O$124,,$C$181-rpm_start_year))/1000)*(SUM(OFFSET(Tariff_SimCalculation!O93,,$C$181-rpm_start_year))/SUM(OFFSET(Tariff_SimCalculation!$O$92:$O$100,,$C$181-rpm_start_year)))</f>
        <v>327926.64765303035</v>
      </c>
      <c r="G212" s="5"/>
    </row>
    <row r="213" spans="2:38" outlineLevel="1">
      <c r="B213" s="13" t="s">
        <v>30</v>
      </c>
      <c r="C213" s="13" t="s">
        <v>49</v>
      </c>
      <c r="D213" s="434"/>
      <c r="E213" s="434">
        <f ca="1">((OFFSET(Tariff_SimCalculation!$O$124,,$C$181-rpm_start_year))/1000)*(SUM(OFFSET(Tariff_SimCalculation!O94,,$C$181-rpm_start_year))/SUM(OFFSET(Tariff_SimCalculation!$O$92:$O$100,,$C$181-rpm_start_year)))</f>
        <v>435526.38039500383</v>
      </c>
      <c r="G213" s="5"/>
    </row>
    <row r="214" spans="2:38" outlineLevel="1">
      <c r="B214" s="13" t="s">
        <v>30</v>
      </c>
      <c r="C214" s="13" t="s">
        <v>50</v>
      </c>
      <c r="D214" s="435"/>
      <c r="E214" s="434">
        <f ca="1">((OFFSET(Tariff_SimCalculation!$O$124,,$C$181-rpm_start_year))/1000)*(SUM(OFFSET(Tariff_SimCalculation!O95,,$C$181-rpm_start_year))/SUM(OFFSET(Tariff_SimCalculation!$O$92:$O$100,,$C$181-rpm_start_year)))</f>
        <v>3840262.9408351826</v>
      </c>
      <c r="G214" s="5"/>
    </row>
    <row r="215" spans="2:38" outlineLevel="1">
      <c r="B215" s="13" t="s">
        <v>30</v>
      </c>
      <c r="C215" s="13" t="s">
        <v>51</v>
      </c>
      <c r="D215" s="435"/>
      <c r="E215" s="434">
        <f ca="1">((OFFSET(Tariff_SimCalculation!$O$124,,$C$181-rpm_start_year))/1000)*(SUM(OFFSET(Tariff_SimCalculation!O96,,$C$181-rpm_start_year))/SUM(OFFSET(Tariff_SimCalculation!$O$92:$O$100,,$C$181-rpm_start_year)))</f>
        <v>217244.93821282857</v>
      </c>
      <c r="G215" s="5"/>
    </row>
    <row r="216" spans="2:38" outlineLevel="1">
      <c r="B216" s="13" t="s">
        <v>30</v>
      </c>
      <c r="C216" s="13" t="s">
        <v>52</v>
      </c>
      <c r="D216" s="435"/>
      <c r="E216" s="434">
        <f ca="1">((OFFSET(Tariff_SimCalculation!$O$124,,$C$181-rpm_start_year))/1000)*(SUM(OFFSET(Tariff_SimCalculation!O97,,$C$181-rpm_start_year))/SUM(OFFSET(Tariff_SimCalculation!$O$92:$O$100,,$C$181-rpm_start_year)))</f>
        <v>108612.63510291005</v>
      </c>
      <c r="G216" s="5"/>
    </row>
    <row r="217" spans="2:38" outlineLevel="1">
      <c r="B217" s="13" t="s">
        <v>30</v>
      </c>
      <c r="C217" s="13" t="s">
        <v>53</v>
      </c>
      <c r="D217" s="436"/>
      <c r="E217" s="434">
        <f ca="1">((OFFSET(Tariff_SimCalculation!$O$124,,$C$181-rpm_start_year))/1000)*(SUM(OFFSET(Tariff_SimCalculation!O98,,$C$181-rpm_start_year))/SUM(OFFSET(Tariff_SimCalculation!$O$92:$O$100,,$C$181-rpm_start_year)))</f>
        <v>43312.885034067054</v>
      </c>
      <c r="G217" s="5"/>
    </row>
    <row r="218" spans="2:38" outlineLevel="1">
      <c r="B218" s="13" t="s">
        <v>30</v>
      </c>
      <c r="C218" s="13" t="s">
        <v>54</v>
      </c>
      <c r="D218" s="436"/>
      <c r="E218" s="434">
        <f ca="1">((OFFSET(Tariff_SimCalculation!$O$124,,$C$181-rpm_start_year))/1000)*(SUM(OFFSET(Tariff_SimCalculation!O99,,$C$181-rpm_start_year))/SUM(OFFSET(Tariff_SimCalculation!$O$92:$O$100,,$C$181-rpm_start_year)))</f>
        <v>216519.18875421581</v>
      </c>
      <c r="G218" s="5"/>
    </row>
    <row r="219" spans="2:38" outlineLevel="1">
      <c r="B219" s="13" t="s">
        <v>30</v>
      </c>
      <c r="C219" s="13" t="s">
        <v>55</v>
      </c>
      <c r="D219" s="436"/>
      <c r="E219" s="434">
        <f ca="1">((OFFSET(Tariff_SimCalculation!$O$124,,$C$181-rpm_start_year))/1000)*(SUM(OFFSET(Tariff_SimCalculation!O100,,$C$181-rpm_start_year))/SUM(OFFSET(Tariff_SimCalculation!$O$92:$O$100,,$C$181-rpm_start_year)))</f>
        <v>559631.50461849093</v>
      </c>
      <c r="G219" s="5"/>
    </row>
    <row r="220" spans="2:38">
      <c r="B220" s="13"/>
      <c r="C220" s="13"/>
    </row>
    <row r="221" spans="2:38" ht="15.75" thickBot="1">
      <c r="C221" s="42"/>
    </row>
    <row r="222" spans="2:38" ht="15.75" thickBot="1">
      <c r="B222" s="31"/>
      <c r="C222" s="337"/>
      <c r="D222" s="338" t="s">
        <v>30</v>
      </c>
      <c r="E222" s="339" t="s">
        <v>30</v>
      </c>
      <c r="F222" s="339" t="s">
        <v>30</v>
      </c>
      <c r="G222" s="339" t="s">
        <v>30</v>
      </c>
      <c r="H222" s="339" t="s">
        <v>30</v>
      </c>
      <c r="I222" s="339" t="s">
        <v>30</v>
      </c>
      <c r="J222" s="339" t="s">
        <v>30</v>
      </c>
      <c r="K222" s="339" t="s">
        <v>30</v>
      </c>
      <c r="L222" s="339" t="s">
        <v>30</v>
      </c>
      <c r="M222" s="339" t="s">
        <v>30</v>
      </c>
      <c r="N222" s="339" t="s">
        <v>30</v>
      </c>
      <c r="O222" s="339" t="s">
        <v>30</v>
      </c>
      <c r="P222" s="339" t="s">
        <v>30</v>
      </c>
      <c r="Q222" s="339" t="s">
        <v>30</v>
      </c>
      <c r="R222" s="339" t="s">
        <v>30</v>
      </c>
      <c r="S222" s="339" t="s">
        <v>30</v>
      </c>
      <c r="T222" s="339" t="s">
        <v>30</v>
      </c>
      <c r="U222" s="339" t="s">
        <v>30</v>
      </c>
      <c r="V222" s="339" t="s">
        <v>30</v>
      </c>
      <c r="W222" s="339" t="s">
        <v>30</v>
      </c>
      <c r="X222" s="339" t="s">
        <v>30</v>
      </c>
      <c r="Y222" s="339" t="s">
        <v>30</v>
      </c>
      <c r="Z222" s="339" t="s">
        <v>30</v>
      </c>
      <c r="AA222" s="339" t="s">
        <v>30</v>
      </c>
      <c r="AB222" s="340" t="s">
        <v>30</v>
      </c>
    </row>
    <row r="223" spans="2:38" ht="15.75" thickBot="1">
      <c r="B223" s="341" t="s">
        <v>258</v>
      </c>
      <c r="C223" s="342" t="s">
        <v>109</v>
      </c>
      <c r="D223" s="343" t="s">
        <v>82</v>
      </c>
      <c r="E223" s="344" t="s">
        <v>82</v>
      </c>
      <c r="F223" s="344" t="s">
        <v>82</v>
      </c>
      <c r="G223" s="344" t="s">
        <v>82</v>
      </c>
      <c r="H223" s="344" t="s">
        <v>82</v>
      </c>
      <c r="I223" s="344" t="s">
        <v>82</v>
      </c>
      <c r="J223" s="344" t="s">
        <v>82</v>
      </c>
      <c r="K223" s="345" t="s">
        <v>82</v>
      </c>
      <c r="L223" s="345" t="s">
        <v>82</v>
      </c>
      <c r="M223" s="346" t="s">
        <v>83</v>
      </c>
      <c r="N223" s="346" t="s">
        <v>83</v>
      </c>
      <c r="O223" s="346" t="s">
        <v>83</v>
      </c>
      <c r="P223" s="346" t="s">
        <v>83</v>
      </c>
      <c r="Q223" s="346" t="s">
        <v>83</v>
      </c>
      <c r="R223" s="346" t="s">
        <v>83</v>
      </c>
      <c r="S223" s="346" t="s">
        <v>83</v>
      </c>
      <c r="T223" s="346" t="s">
        <v>83</v>
      </c>
      <c r="U223" s="346" t="s">
        <v>83</v>
      </c>
      <c r="V223" s="346" t="s">
        <v>83</v>
      </c>
      <c r="W223" s="346" t="s">
        <v>83</v>
      </c>
      <c r="X223" s="346" t="s">
        <v>83</v>
      </c>
      <c r="Y223" s="346" t="s">
        <v>83</v>
      </c>
      <c r="Z223" s="346" t="s">
        <v>83</v>
      </c>
      <c r="AA223" s="346" t="s">
        <v>83</v>
      </c>
      <c r="AB223" s="347" t="s">
        <v>83</v>
      </c>
    </row>
    <row r="224" spans="2:38" ht="68.25" thickBot="1">
      <c r="B224" s="348"/>
      <c r="C224" s="349"/>
      <c r="D224" s="350" t="s">
        <v>22</v>
      </c>
      <c r="E224" s="351" t="s">
        <v>23</v>
      </c>
      <c r="F224" s="351" t="s">
        <v>24</v>
      </c>
      <c r="G224" s="351" t="s">
        <v>39</v>
      </c>
      <c r="H224" s="351" t="s">
        <v>34</v>
      </c>
      <c r="I224" s="351" t="s">
        <v>33</v>
      </c>
      <c r="J224" s="351" t="s">
        <v>20</v>
      </c>
      <c r="K224" s="351" t="s">
        <v>56</v>
      </c>
      <c r="L224" s="351" t="s">
        <v>25</v>
      </c>
      <c r="M224" s="351" t="s">
        <v>40</v>
      </c>
      <c r="N224" s="351" t="s">
        <v>41</v>
      </c>
      <c r="O224" s="351" t="s">
        <v>42</v>
      </c>
      <c r="P224" s="351" t="s">
        <v>43</v>
      </c>
      <c r="Q224" s="351" t="s">
        <v>44</v>
      </c>
      <c r="R224" s="351" t="s">
        <v>45</v>
      </c>
      <c r="S224" s="351" t="s">
        <v>46</v>
      </c>
      <c r="T224" s="351" t="s">
        <v>47</v>
      </c>
      <c r="U224" s="351" t="s">
        <v>48</v>
      </c>
      <c r="V224" s="351" t="s">
        <v>49</v>
      </c>
      <c r="W224" s="351" t="s">
        <v>50</v>
      </c>
      <c r="X224" s="351" t="s">
        <v>51</v>
      </c>
      <c r="Y224" s="351" t="s">
        <v>52</v>
      </c>
      <c r="Z224" s="351" t="s">
        <v>53</v>
      </c>
      <c r="AA224" s="351" t="s">
        <v>54</v>
      </c>
      <c r="AB224" s="352" t="s">
        <v>55</v>
      </c>
      <c r="AC224" s="353" t="s">
        <v>259</v>
      </c>
      <c r="AD224" s="354" t="s">
        <v>260</v>
      </c>
      <c r="AE224" s="355" t="s">
        <v>261</v>
      </c>
      <c r="AF224" s="356" t="s">
        <v>262</v>
      </c>
      <c r="AG224" s="356" t="s">
        <v>263</v>
      </c>
      <c r="AH224" s="356" t="s">
        <v>264</v>
      </c>
      <c r="AI224" s="356" t="s">
        <v>265</v>
      </c>
      <c r="AJ224" s="356" t="s">
        <v>266</v>
      </c>
      <c r="AK224" s="356" t="s">
        <v>267</v>
      </c>
      <c r="AL224" s="425" t="s">
        <v>268</v>
      </c>
    </row>
    <row r="225" spans="2:38" ht="15.75" thickBot="1">
      <c r="B225" s="357" t="s">
        <v>21</v>
      </c>
      <c r="C225" s="411" t="s">
        <v>22</v>
      </c>
      <c r="D225" s="358">
        <v>1</v>
      </c>
      <c r="E225" s="359">
        <f t="shared" ref="E225:T225" si="84">IF($C$223="No",1,F145)</f>
        <v>1</v>
      </c>
      <c r="F225" s="359">
        <f t="shared" si="84"/>
        <v>1</v>
      </c>
      <c r="G225" s="359">
        <f t="shared" si="84"/>
        <v>1</v>
      </c>
      <c r="H225" s="359">
        <f t="shared" si="84"/>
        <v>1</v>
      </c>
      <c r="I225" s="359">
        <f t="shared" si="84"/>
        <v>1</v>
      </c>
      <c r="J225" s="359">
        <f t="shared" si="84"/>
        <v>1</v>
      </c>
      <c r="K225" s="359">
        <f t="shared" si="84"/>
        <v>1</v>
      </c>
      <c r="L225" s="359">
        <f t="shared" si="84"/>
        <v>1</v>
      </c>
      <c r="M225" s="359">
        <f t="shared" si="84"/>
        <v>1</v>
      </c>
      <c r="N225" s="359">
        <f t="shared" si="84"/>
        <v>1</v>
      </c>
      <c r="O225" s="359">
        <f t="shared" si="84"/>
        <v>1</v>
      </c>
      <c r="P225" s="359">
        <f t="shared" si="84"/>
        <v>1</v>
      </c>
      <c r="Q225" s="359">
        <f t="shared" si="84"/>
        <v>1</v>
      </c>
      <c r="R225" s="359">
        <f t="shared" si="84"/>
        <v>1</v>
      </c>
      <c r="S225" s="359">
        <f t="shared" si="84"/>
        <v>1</v>
      </c>
      <c r="T225" s="359">
        <f t="shared" si="84"/>
        <v>1</v>
      </c>
      <c r="U225" s="359">
        <f t="shared" ref="T225:AB234" si="85">IF($C$223="No",1,V145)</f>
        <v>1</v>
      </c>
      <c r="V225" s="359">
        <f t="shared" si="85"/>
        <v>1</v>
      </c>
      <c r="W225" s="359">
        <f t="shared" si="85"/>
        <v>1</v>
      </c>
      <c r="X225" s="359">
        <f t="shared" si="85"/>
        <v>1</v>
      </c>
      <c r="Y225" s="359">
        <f t="shared" si="85"/>
        <v>1</v>
      </c>
      <c r="Z225" s="359">
        <f t="shared" si="85"/>
        <v>1</v>
      </c>
      <c r="AA225" s="359">
        <f t="shared" si="85"/>
        <v>1</v>
      </c>
      <c r="AB225" s="360">
        <f t="shared" si="85"/>
        <v>1</v>
      </c>
      <c r="AC225" s="414">
        <f t="shared" ref="AC225:AC234" ca="1" si="86">SUMPRODUCT($D225:$AB225,$D$238:$AB$238*($D$223:$AB$223="Intra"))/SUMPRODUCT($D$238:$AB$238*($D$223:$AB$223="Intra"))</f>
        <v>1</v>
      </c>
      <c r="AD225" s="361">
        <f t="shared" ref="AD225:AD234" ca="1" si="87">SUMPRODUCT($D225:$AB225,$D$238:$AB$238*($D$223:$AB$223="Cross"))/SUMPRODUCT($D$238:$AB$238*($D$223:$AB$223="Cross"))</f>
        <v>1</v>
      </c>
      <c r="AE225" s="362">
        <f ca="1">D185</f>
        <v>4120916.0329999998</v>
      </c>
      <c r="AF225" s="363">
        <f ca="1">E185</f>
        <v>0</v>
      </c>
      <c r="AG225" s="363">
        <f ca="1">AE225+AF225</f>
        <v>4120916.0329999998</v>
      </c>
      <c r="AH225" s="363">
        <f ca="1">AG225-AI225</f>
        <v>1530779.8407291551</v>
      </c>
      <c r="AI225" s="363">
        <f ca="1">SUMIFS($D$238:$AB$238,$D$223:$AB$223,"Cross")*(AG225/SUM($AG$225:$AG$234))</f>
        <v>2590136.1922708447</v>
      </c>
      <c r="AJ225" s="364">
        <f ca="1">AH225*AC225</f>
        <v>1530779.8407291551</v>
      </c>
      <c r="AK225" s="426">
        <f ca="1">AI225*AD225</f>
        <v>2590136.1922708447</v>
      </c>
      <c r="AL225" s="429">
        <f ca="1">OFFSET(Tariff_SimCalculation!$O$27,,$C$181-rpm_start_year)</f>
        <v>5.4088939606380462E-2</v>
      </c>
    </row>
    <row r="226" spans="2:38" ht="15.75" thickBot="1">
      <c r="B226" s="365" t="s">
        <v>21</v>
      </c>
      <c r="C226" s="412" t="s">
        <v>23</v>
      </c>
      <c r="D226" s="366">
        <f t="shared" ref="D226:S234" si="88">IF($C$223="No",1,E146)</f>
        <v>1</v>
      </c>
      <c r="E226" s="367">
        <v>1</v>
      </c>
      <c r="F226" s="367">
        <f t="shared" si="88"/>
        <v>1</v>
      </c>
      <c r="G226" s="367">
        <f t="shared" si="88"/>
        <v>1</v>
      </c>
      <c r="H226" s="367">
        <f t="shared" si="88"/>
        <v>1</v>
      </c>
      <c r="I226" s="367">
        <f t="shared" si="88"/>
        <v>1</v>
      </c>
      <c r="J226" s="367">
        <f t="shared" si="88"/>
        <v>1</v>
      </c>
      <c r="K226" s="367">
        <f t="shared" si="88"/>
        <v>1</v>
      </c>
      <c r="L226" s="367">
        <f t="shared" si="88"/>
        <v>1</v>
      </c>
      <c r="M226" s="367">
        <f t="shared" si="88"/>
        <v>1</v>
      </c>
      <c r="N226" s="367">
        <f t="shared" si="88"/>
        <v>1</v>
      </c>
      <c r="O226" s="367">
        <f t="shared" si="88"/>
        <v>1</v>
      </c>
      <c r="P226" s="367">
        <f t="shared" si="88"/>
        <v>1</v>
      </c>
      <c r="Q226" s="367">
        <f t="shared" si="88"/>
        <v>1</v>
      </c>
      <c r="R226" s="367">
        <f t="shared" si="88"/>
        <v>1</v>
      </c>
      <c r="S226" s="367">
        <f t="shared" si="88"/>
        <v>1</v>
      </c>
      <c r="T226" s="367">
        <f t="shared" si="85"/>
        <v>1</v>
      </c>
      <c r="U226" s="367">
        <f t="shared" si="85"/>
        <v>1</v>
      </c>
      <c r="V226" s="367">
        <f t="shared" si="85"/>
        <v>1</v>
      </c>
      <c r="W226" s="367">
        <f t="shared" si="85"/>
        <v>1</v>
      </c>
      <c r="X226" s="367">
        <f t="shared" si="85"/>
        <v>1</v>
      </c>
      <c r="Y226" s="367">
        <f t="shared" si="85"/>
        <v>1</v>
      </c>
      <c r="Z226" s="367">
        <f t="shared" si="85"/>
        <v>1</v>
      </c>
      <c r="AA226" s="367">
        <f t="shared" si="85"/>
        <v>1</v>
      </c>
      <c r="AB226" s="368">
        <f t="shared" si="85"/>
        <v>1</v>
      </c>
      <c r="AC226" s="370">
        <f t="shared" ca="1" si="86"/>
        <v>1</v>
      </c>
      <c r="AD226" s="369">
        <f t="shared" ca="1" si="87"/>
        <v>1</v>
      </c>
      <c r="AE226" s="362">
        <f t="shared" ref="AE226:AF235" ca="1" si="89">D186</f>
        <v>60068188.115999997</v>
      </c>
      <c r="AF226" s="363">
        <f t="shared" si="89"/>
        <v>0</v>
      </c>
      <c r="AG226" s="32">
        <f t="shared" ref="AG226:AG234" ca="1" si="90">AE226+AF226</f>
        <v>60068188.115999997</v>
      </c>
      <c r="AH226" s="32">
        <f t="shared" ref="AH226:AH233" ca="1" si="91">AG226-AI226</f>
        <v>22313284.401031472</v>
      </c>
      <c r="AI226" s="32">
        <f t="shared" ref="AI226:AI234" ca="1" si="92">SUMIFS($D$238:$AB$238,$D$223:$AB$223,"Cross")*AG226/SUM($AG$225:$AG$234)</f>
        <v>37754903.714968525</v>
      </c>
      <c r="AJ226" s="31">
        <f t="shared" ref="AJ226:AK234" ca="1" si="93">AH226*AC226</f>
        <v>22313284.401031472</v>
      </c>
      <c r="AK226" s="242">
        <f t="shared" ca="1" si="93"/>
        <v>37754903.714968525</v>
      </c>
      <c r="AL226" s="429">
        <f ca="1">OFFSET(Tariff_SimCalculation!$O$27,,$C$181-rpm_start_year)</f>
        <v>5.4088939606380462E-2</v>
      </c>
    </row>
    <row r="227" spans="2:38" ht="15.75" thickBot="1">
      <c r="B227" s="365" t="s">
        <v>21</v>
      </c>
      <c r="C227" s="412" t="s">
        <v>24</v>
      </c>
      <c r="D227" s="366">
        <f t="shared" si="88"/>
        <v>1</v>
      </c>
      <c r="E227" s="367">
        <f t="shared" si="88"/>
        <v>1</v>
      </c>
      <c r="F227" s="367">
        <v>1</v>
      </c>
      <c r="G227" s="367">
        <f t="shared" si="88"/>
        <v>1</v>
      </c>
      <c r="H227" s="367">
        <f t="shared" si="88"/>
        <v>1</v>
      </c>
      <c r="I227" s="367">
        <f t="shared" si="88"/>
        <v>1</v>
      </c>
      <c r="J227" s="367">
        <f t="shared" si="88"/>
        <v>1</v>
      </c>
      <c r="K227" s="367">
        <f t="shared" si="88"/>
        <v>1</v>
      </c>
      <c r="L227" s="367">
        <f t="shared" si="88"/>
        <v>1</v>
      </c>
      <c r="M227" s="367">
        <f t="shared" si="88"/>
        <v>1</v>
      </c>
      <c r="N227" s="367">
        <f t="shared" si="88"/>
        <v>1</v>
      </c>
      <c r="O227" s="367">
        <f t="shared" si="88"/>
        <v>1</v>
      </c>
      <c r="P227" s="367">
        <f t="shared" si="88"/>
        <v>1</v>
      </c>
      <c r="Q227" s="367">
        <f t="shared" si="88"/>
        <v>1</v>
      </c>
      <c r="R227" s="367">
        <f t="shared" si="88"/>
        <v>1</v>
      </c>
      <c r="S227" s="367">
        <f t="shared" si="88"/>
        <v>1</v>
      </c>
      <c r="T227" s="367">
        <f t="shared" si="85"/>
        <v>1</v>
      </c>
      <c r="U227" s="367">
        <f t="shared" si="85"/>
        <v>1</v>
      </c>
      <c r="V227" s="367">
        <f t="shared" si="85"/>
        <v>1</v>
      </c>
      <c r="W227" s="367">
        <f t="shared" si="85"/>
        <v>1</v>
      </c>
      <c r="X227" s="367">
        <f t="shared" si="85"/>
        <v>1</v>
      </c>
      <c r="Y227" s="367">
        <f t="shared" si="85"/>
        <v>1</v>
      </c>
      <c r="Z227" s="367">
        <f t="shared" si="85"/>
        <v>1</v>
      </c>
      <c r="AA227" s="367">
        <f t="shared" si="85"/>
        <v>1</v>
      </c>
      <c r="AB227" s="368">
        <f t="shared" si="85"/>
        <v>1</v>
      </c>
      <c r="AC227" s="370">
        <f t="shared" ca="1" si="86"/>
        <v>1</v>
      </c>
      <c r="AD227" s="369">
        <f t="shared" ca="1" si="87"/>
        <v>1</v>
      </c>
      <c r="AE227" s="362">
        <f t="shared" ca="1" si="89"/>
        <v>7165934.04</v>
      </c>
      <c r="AF227" s="363">
        <f t="shared" si="89"/>
        <v>0</v>
      </c>
      <c r="AG227" s="32">
        <f t="shared" ca="1" si="90"/>
        <v>7165934.04</v>
      </c>
      <c r="AH227" s="32">
        <f t="shared" ca="1" si="91"/>
        <v>2661900.2378558852</v>
      </c>
      <c r="AI227" s="32">
        <f t="shared" ca="1" si="92"/>
        <v>4504033.8021441149</v>
      </c>
      <c r="AJ227" s="31">
        <f t="shared" ca="1" si="93"/>
        <v>2661900.2378558852</v>
      </c>
      <c r="AK227" s="242">
        <f t="shared" ca="1" si="93"/>
        <v>4504033.8021441149</v>
      </c>
      <c r="AL227" s="429">
        <f ca="1">OFFSET(Tariff_SimCalculation!$O$27,,$C$181-rpm_start_year)</f>
        <v>5.4088939606380462E-2</v>
      </c>
    </row>
    <row r="228" spans="2:38" ht="15.75" thickBot="1">
      <c r="B228" s="365" t="s">
        <v>21</v>
      </c>
      <c r="C228" s="412" t="s">
        <v>39</v>
      </c>
      <c r="D228" s="366">
        <f t="shared" si="88"/>
        <v>1</v>
      </c>
      <c r="E228" s="367">
        <f t="shared" si="88"/>
        <v>1</v>
      </c>
      <c r="F228" s="367">
        <f t="shared" si="88"/>
        <v>1</v>
      </c>
      <c r="G228" s="367">
        <v>1</v>
      </c>
      <c r="H228" s="367">
        <f t="shared" si="88"/>
        <v>1</v>
      </c>
      <c r="I228" s="367">
        <f t="shared" si="88"/>
        <v>1</v>
      </c>
      <c r="J228" s="367">
        <f t="shared" si="88"/>
        <v>1</v>
      </c>
      <c r="K228" s="367">
        <f t="shared" si="88"/>
        <v>1</v>
      </c>
      <c r="L228" s="367">
        <f t="shared" si="88"/>
        <v>1</v>
      </c>
      <c r="M228" s="367">
        <f t="shared" si="88"/>
        <v>1</v>
      </c>
      <c r="N228" s="367">
        <f t="shared" si="88"/>
        <v>1</v>
      </c>
      <c r="O228" s="367">
        <f t="shared" si="88"/>
        <v>1</v>
      </c>
      <c r="P228" s="367">
        <f t="shared" si="88"/>
        <v>1</v>
      </c>
      <c r="Q228" s="367">
        <f t="shared" si="88"/>
        <v>1</v>
      </c>
      <c r="R228" s="367">
        <f t="shared" si="88"/>
        <v>1</v>
      </c>
      <c r="S228" s="367">
        <f t="shared" si="88"/>
        <v>1</v>
      </c>
      <c r="T228" s="367">
        <f t="shared" si="85"/>
        <v>1</v>
      </c>
      <c r="U228" s="367">
        <f t="shared" si="85"/>
        <v>1</v>
      </c>
      <c r="V228" s="367">
        <f t="shared" si="85"/>
        <v>1</v>
      </c>
      <c r="W228" s="367">
        <f t="shared" si="85"/>
        <v>1</v>
      </c>
      <c r="X228" s="367">
        <f t="shared" si="85"/>
        <v>1</v>
      </c>
      <c r="Y228" s="367">
        <f t="shared" si="85"/>
        <v>1</v>
      </c>
      <c r="Z228" s="367">
        <f t="shared" si="85"/>
        <v>1</v>
      </c>
      <c r="AA228" s="367">
        <f t="shared" si="85"/>
        <v>1</v>
      </c>
      <c r="AB228" s="368">
        <f t="shared" si="85"/>
        <v>1</v>
      </c>
      <c r="AC228" s="370">
        <f t="shared" ca="1" si="86"/>
        <v>1</v>
      </c>
      <c r="AD228" s="369">
        <f t="shared" ca="1" si="87"/>
        <v>1</v>
      </c>
      <c r="AE228" s="362">
        <f t="shared" si="89"/>
        <v>0</v>
      </c>
      <c r="AF228" s="363">
        <f t="shared" si="89"/>
        <v>0</v>
      </c>
      <c r="AG228" s="32">
        <f>AE228+AF228</f>
        <v>0</v>
      </c>
      <c r="AH228" s="32">
        <f t="shared" ca="1" si="91"/>
        <v>0</v>
      </c>
      <c r="AI228" s="32">
        <f t="shared" ca="1" si="92"/>
        <v>0</v>
      </c>
      <c r="AJ228" s="31">
        <f t="shared" ca="1" si="93"/>
        <v>0</v>
      </c>
      <c r="AK228" s="242">
        <f t="shared" ca="1" si="93"/>
        <v>0</v>
      </c>
      <c r="AL228" s="429">
        <f ca="1">OFFSET(Tariff_SimCalculation!$O$27,,$C$181-rpm_start_year)</f>
        <v>5.4088939606380462E-2</v>
      </c>
    </row>
    <row r="229" spans="2:38" ht="15.75" thickBot="1">
      <c r="B229" s="365" t="s">
        <v>21</v>
      </c>
      <c r="C229" s="412" t="s">
        <v>34</v>
      </c>
      <c r="D229" s="366">
        <f t="shared" si="88"/>
        <v>1</v>
      </c>
      <c r="E229" s="367">
        <f t="shared" si="88"/>
        <v>1</v>
      </c>
      <c r="F229" s="367">
        <f t="shared" si="88"/>
        <v>1</v>
      </c>
      <c r="G229" s="367">
        <f t="shared" si="88"/>
        <v>1</v>
      </c>
      <c r="H229" s="367">
        <v>1</v>
      </c>
      <c r="I229" s="367">
        <f t="shared" si="88"/>
        <v>1</v>
      </c>
      <c r="J229" s="367">
        <f t="shared" si="88"/>
        <v>1</v>
      </c>
      <c r="K229" s="367">
        <f t="shared" si="88"/>
        <v>1</v>
      </c>
      <c r="L229" s="367">
        <f t="shared" si="88"/>
        <v>1</v>
      </c>
      <c r="M229" s="367">
        <f t="shared" si="88"/>
        <v>1</v>
      </c>
      <c r="N229" s="367">
        <f t="shared" si="88"/>
        <v>1</v>
      </c>
      <c r="O229" s="367">
        <f t="shared" si="88"/>
        <v>1</v>
      </c>
      <c r="P229" s="367">
        <f t="shared" si="88"/>
        <v>1</v>
      </c>
      <c r="Q229" s="367">
        <f t="shared" si="88"/>
        <v>1</v>
      </c>
      <c r="R229" s="367">
        <f t="shared" si="88"/>
        <v>1</v>
      </c>
      <c r="S229" s="367">
        <f t="shared" si="88"/>
        <v>1</v>
      </c>
      <c r="T229" s="367">
        <f t="shared" si="85"/>
        <v>1</v>
      </c>
      <c r="U229" s="367">
        <f t="shared" si="85"/>
        <v>1</v>
      </c>
      <c r="V229" s="367">
        <f t="shared" si="85"/>
        <v>1</v>
      </c>
      <c r="W229" s="367">
        <f t="shared" si="85"/>
        <v>1</v>
      </c>
      <c r="X229" s="367">
        <f t="shared" si="85"/>
        <v>1</v>
      </c>
      <c r="Y229" s="367">
        <f t="shared" si="85"/>
        <v>1</v>
      </c>
      <c r="Z229" s="367">
        <f t="shared" si="85"/>
        <v>1</v>
      </c>
      <c r="AA229" s="367">
        <f t="shared" si="85"/>
        <v>1</v>
      </c>
      <c r="AB229" s="368">
        <f t="shared" si="85"/>
        <v>1</v>
      </c>
      <c r="AC229" s="370">
        <f t="shared" ca="1" si="86"/>
        <v>1</v>
      </c>
      <c r="AD229" s="369">
        <f t="shared" ca="1" si="87"/>
        <v>1</v>
      </c>
      <c r="AE229" s="362">
        <f t="shared" si="89"/>
        <v>0</v>
      </c>
      <c r="AF229" s="363">
        <f t="shared" si="89"/>
        <v>0</v>
      </c>
      <c r="AG229" s="32">
        <f>AE229+AF229</f>
        <v>0</v>
      </c>
      <c r="AH229" s="32">
        <f t="shared" ca="1" si="91"/>
        <v>0</v>
      </c>
      <c r="AI229" s="32">
        <f t="shared" ca="1" si="92"/>
        <v>0</v>
      </c>
      <c r="AJ229" s="31">
        <f t="shared" ca="1" si="93"/>
        <v>0</v>
      </c>
      <c r="AK229" s="242">
        <f t="shared" ca="1" si="93"/>
        <v>0</v>
      </c>
      <c r="AL229" s="429">
        <f ca="1">OFFSET(Tariff_SimCalculation!$O$27,,$C$181-rpm_start_year)</f>
        <v>5.4088939606380462E-2</v>
      </c>
    </row>
    <row r="230" spans="2:38" ht="15.75" thickBot="1">
      <c r="B230" s="365" t="s">
        <v>21</v>
      </c>
      <c r="C230" s="412" t="s">
        <v>33</v>
      </c>
      <c r="D230" s="366">
        <f t="shared" si="88"/>
        <v>1</v>
      </c>
      <c r="E230" s="367">
        <f t="shared" si="88"/>
        <v>1</v>
      </c>
      <c r="F230" s="367">
        <f t="shared" si="88"/>
        <v>1</v>
      </c>
      <c r="G230" s="367">
        <f t="shared" si="88"/>
        <v>1</v>
      </c>
      <c r="H230" s="367">
        <f t="shared" si="88"/>
        <v>1</v>
      </c>
      <c r="I230" s="367">
        <v>1</v>
      </c>
      <c r="J230" s="367">
        <f t="shared" si="88"/>
        <v>1</v>
      </c>
      <c r="K230" s="367">
        <f t="shared" si="88"/>
        <v>1</v>
      </c>
      <c r="L230" s="367">
        <f t="shared" si="88"/>
        <v>1</v>
      </c>
      <c r="M230" s="367">
        <f t="shared" si="88"/>
        <v>1</v>
      </c>
      <c r="N230" s="367">
        <f t="shared" si="88"/>
        <v>1</v>
      </c>
      <c r="O230" s="367">
        <f t="shared" si="88"/>
        <v>1</v>
      </c>
      <c r="P230" s="367">
        <f t="shared" si="88"/>
        <v>1</v>
      </c>
      <c r="Q230" s="367">
        <f t="shared" si="88"/>
        <v>1</v>
      </c>
      <c r="R230" s="367">
        <f t="shared" si="88"/>
        <v>1</v>
      </c>
      <c r="S230" s="367">
        <f t="shared" si="88"/>
        <v>1</v>
      </c>
      <c r="T230" s="367">
        <f t="shared" si="85"/>
        <v>1</v>
      </c>
      <c r="U230" s="367">
        <f t="shared" si="85"/>
        <v>1</v>
      </c>
      <c r="V230" s="367">
        <f t="shared" si="85"/>
        <v>1</v>
      </c>
      <c r="W230" s="367">
        <f t="shared" si="85"/>
        <v>1</v>
      </c>
      <c r="X230" s="367">
        <f t="shared" si="85"/>
        <v>1</v>
      </c>
      <c r="Y230" s="367">
        <f t="shared" si="85"/>
        <v>1</v>
      </c>
      <c r="Z230" s="367">
        <f t="shared" si="85"/>
        <v>1</v>
      </c>
      <c r="AA230" s="367">
        <f t="shared" si="85"/>
        <v>1</v>
      </c>
      <c r="AB230" s="368">
        <f t="shared" si="85"/>
        <v>1</v>
      </c>
      <c r="AC230" s="370">
        <f t="shared" ca="1" si="86"/>
        <v>1</v>
      </c>
      <c r="AD230" s="369">
        <f t="shared" ca="1" si="87"/>
        <v>1</v>
      </c>
      <c r="AE230" s="362">
        <f t="shared" si="89"/>
        <v>0</v>
      </c>
      <c r="AF230" s="363">
        <f t="shared" si="89"/>
        <v>0</v>
      </c>
      <c r="AG230" s="32">
        <f t="shared" si="90"/>
        <v>0</v>
      </c>
      <c r="AH230" s="32">
        <f t="shared" ca="1" si="91"/>
        <v>0</v>
      </c>
      <c r="AI230" s="32">
        <f t="shared" ca="1" si="92"/>
        <v>0</v>
      </c>
      <c r="AJ230" s="31">
        <f t="shared" ca="1" si="93"/>
        <v>0</v>
      </c>
      <c r="AK230" s="242">
        <f t="shared" ca="1" si="93"/>
        <v>0</v>
      </c>
      <c r="AL230" s="429">
        <f ca="1">OFFSET(Tariff_SimCalculation!$O$27,,$C$181-rpm_start_year)</f>
        <v>5.4088939606380462E-2</v>
      </c>
    </row>
    <row r="231" spans="2:38" ht="15.75" thickBot="1">
      <c r="B231" s="365" t="s">
        <v>21</v>
      </c>
      <c r="C231" s="412" t="s">
        <v>20</v>
      </c>
      <c r="D231" s="366">
        <f t="shared" si="88"/>
        <v>1</v>
      </c>
      <c r="E231" s="367">
        <f t="shared" si="88"/>
        <v>1</v>
      </c>
      <c r="F231" s="367">
        <f t="shared" si="88"/>
        <v>1</v>
      </c>
      <c r="G231" s="367">
        <f t="shared" si="88"/>
        <v>1</v>
      </c>
      <c r="H231" s="367">
        <f t="shared" si="88"/>
        <v>1</v>
      </c>
      <c r="I231" s="367">
        <f t="shared" si="88"/>
        <v>1</v>
      </c>
      <c r="J231" s="367">
        <v>1</v>
      </c>
      <c r="K231" s="367">
        <f t="shared" si="88"/>
        <v>1</v>
      </c>
      <c r="L231" s="367">
        <f t="shared" si="88"/>
        <v>1</v>
      </c>
      <c r="M231" s="367">
        <f t="shared" si="88"/>
        <v>1</v>
      </c>
      <c r="N231" s="367">
        <f t="shared" si="88"/>
        <v>1</v>
      </c>
      <c r="O231" s="367">
        <f t="shared" si="88"/>
        <v>1</v>
      </c>
      <c r="P231" s="367">
        <f t="shared" si="88"/>
        <v>1</v>
      </c>
      <c r="Q231" s="367">
        <f t="shared" si="88"/>
        <v>1</v>
      </c>
      <c r="R231" s="367">
        <f t="shared" si="88"/>
        <v>1</v>
      </c>
      <c r="S231" s="367">
        <f t="shared" si="88"/>
        <v>1</v>
      </c>
      <c r="T231" s="367">
        <f t="shared" si="85"/>
        <v>1</v>
      </c>
      <c r="U231" s="367">
        <f t="shared" si="85"/>
        <v>1</v>
      </c>
      <c r="V231" s="367">
        <f t="shared" si="85"/>
        <v>1</v>
      </c>
      <c r="W231" s="367">
        <f t="shared" si="85"/>
        <v>1</v>
      </c>
      <c r="X231" s="367">
        <f t="shared" si="85"/>
        <v>1</v>
      </c>
      <c r="Y231" s="367">
        <f t="shared" si="85"/>
        <v>1</v>
      </c>
      <c r="Z231" s="367">
        <f t="shared" si="85"/>
        <v>1</v>
      </c>
      <c r="AA231" s="367">
        <f t="shared" si="85"/>
        <v>1</v>
      </c>
      <c r="AB231" s="368">
        <f t="shared" si="85"/>
        <v>1</v>
      </c>
      <c r="AC231" s="370">
        <f t="shared" ca="1" si="86"/>
        <v>1</v>
      </c>
      <c r="AD231" s="369">
        <f t="shared" ca="1" si="87"/>
        <v>1</v>
      </c>
      <c r="AE231" s="362">
        <f t="shared" si="89"/>
        <v>0</v>
      </c>
      <c r="AF231" s="363">
        <f t="shared" ca="1" si="89"/>
        <v>10071000</v>
      </c>
      <c r="AG231" s="32">
        <f t="shared" ca="1" si="90"/>
        <v>10071000</v>
      </c>
      <c r="AH231" s="32">
        <f t="shared" ca="1" si="91"/>
        <v>3741033.2199271293</v>
      </c>
      <c r="AI231" s="32">
        <f t="shared" ca="1" si="92"/>
        <v>6329966.7800728707</v>
      </c>
      <c r="AJ231" s="31">
        <f t="shared" ca="1" si="93"/>
        <v>3741033.2199271293</v>
      </c>
      <c r="AK231" s="242">
        <f t="shared" ca="1" si="93"/>
        <v>6329966.7800728707</v>
      </c>
      <c r="AL231" s="429">
        <f ca="1">OFFSET(Tariff_SimCalculation!$O$27,,$C$181-rpm_start_year)</f>
        <v>5.4088939606380462E-2</v>
      </c>
    </row>
    <row r="232" spans="2:38" ht="15.75" thickBot="1">
      <c r="B232" s="365" t="s">
        <v>21</v>
      </c>
      <c r="C232" s="412" t="s">
        <v>56</v>
      </c>
      <c r="D232" s="366">
        <f t="shared" si="88"/>
        <v>1</v>
      </c>
      <c r="E232" s="367">
        <f t="shared" si="88"/>
        <v>1</v>
      </c>
      <c r="F232" s="367">
        <f t="shared" si="88"/>
        <v>1</v>
      </c>
      <c r="G232" s="367">
        <f t="shared" si="88"/>
        <v>1</v>
      </c>
      <c r="H232" s="367">
        <f t="shared" si="88"/>
        <v>1</v>
      </c>
      <c r="I232" s="367">
        <f t="shared" si="88"/>
        <v>1</v>
      </c>
      <c r="J232" s="367">
        <f t="shared" si="88"/>
        <v>1</v>
      </c>
      <c r="K232" s="367">
        <v>1</v>
      </c>
      <c r="L232" s="367">
        <f t="shared" si="88"/>
        <v>1</v>
      </c>
      <c r="M232" s="367">
        <f t="shared" si="88"/>
        <v>1</v>
      </c>
      <c r="N232" s="367">
        <f t="shared" si="88"/>
        <v>1</v>
      </c>
      <c r="O232" s="367">
        <f t="shared" si="88"/>
        <v>1</v>
      </c>
      <c r="P232" s="367">
        <f t="shared" si="88"/>
        <v>1</v>
      </c>
      <c r="Q232" s="367">
        <f t="shared" si="88"/>
        <v>1</v>
      </c>
      <c r="R232" s="367">
        <f t="shared" si="88"/>
        <v>1</v>
      </c>
      <c r="S232" s="367">
        <f t="shared" si="88"/>
        <v>1</v>
      </c>
      <c r="T232" s="367">
        <f t="shared" si="85"/>
        <v>1</v>
      </c>
      <c r="U232" s="367">
        <f t="shared" si="85"/>
        <v>1</v>
      </c>
      <c r="V232" s="367">
        <f t="shared" si="85"/>
        <v>1</v>
      </c>
      <c r="W232" s="367">
        <f t="shared" si="85"/>
        <v>1</v>
      </c>
      <c r="X232" s="367">
        <f t="shared" si="85"/>
        <v>1</v>
      </c>
      <c r="Y232" s="367">
        <f t="shared" si="85"/>
        <v>1</v>
      </c>
      <c r="Z232" s="367">
        <f t="shared" si="85"/>
        <v>1</v>
      </c>
      <c r="AA232" s="367">
        <f t="shared" si="85"/>
        <v>1</v>
      </c>
      <c r="AB232" s="368">
        <f t="shared" si="85"/>
        <v>1</v>
      </c>
      <c r="AC232" s="370">
        <f t="shared" ca="1" si="86"/>
        <v>1</v>
      </c>
      <c r="AD232" s="369">
        <f t="shared" ca="1" si="87"/>
        <v>1</v>
      </c>
      <c r="AE232" s="362">
        <f t="shared" ca="1" si="89"/>
        <v>0</v>
      </c>
      <c r="AF232" s="363">
        <f t="shared" si="89"/>
        <v>0</v>
      </c>
      <c r="AG232" s="32">
        <f t="shared" ca="1" si="90"/>
        <v>0</v>
      </c>
      <c r="AH232" s="32">
        <f t="shared" ca="1" si="91"/>
        <v>0</v>
      </c>
      <c r="AI232" s="32">
        <f t="shared" ca="1" si="92"/>
        <v>0</v>
      </c>
      <c r="AJ232" s="31">
        <f t="shared" ca="1" si="93"/>
        <v>0</v>
      </c>
      <c r="AK232" s="242">
        <f t="shared" ca="1" si="93"/>
        <v>0</v>
      </c>
      <c r="AL232" s="429">
        <f ca="1">OFFSET(Tariff_SimCalculation!$O$27,,$C$181-rpm_start_year)</f>
        <v>5.4088939606380462E-2</v>
      </c>
    </row>
    <row r="233" spans="2:38" ht="15.75" thickBot="1">
      <c r="B233" s="365" t="s">
        <v>21</v>
      </c>
      <c r="C233" s="412" t="s">
        <v>25</v>
      </c>
      <c r="D233" s="366">
        <f t="shared" si="88"/>
        <v>1</v>
      </c>
      <c r="E233" s="367">
        <f t="shared" si="88"/>
        <v>1</v>
      </c>
      <c r="F233" s="367">
        <f t="shared" si="88"/>
        <v>1</v>
      </c>
      <c r="G233" s="367">
        <f t="shared" si="88"/>
        <v>1</v>
      </c>
      <c r="H233" s="367">
        <f t="shared" si="88"/>
        <v>1</v>
      </c>
      <c r="I233" s="367">
        <f t="shared" si="88"/>
        <v>1</v>
      </c>
      <c r="J233" s="367">
        <f t="shared" si="88"/>
        <v>1</v>
      </c>
      <c r="K233" s="367">
        <f t="shared" si="88"/>
        <v>1</v>
      </c>
      <c r="L233" s="367">
        <v>1</v>
      </c>
      <c r="M233" s="367">
        <f t="shared" si="88"/>
        <v>1</v>
      </c>
      <c r="N233" s="367">
        <f t="shared" si="88"/>
        <v>1</v>
      </c>
      <c r="O233" s="367">
        <f t="shared" si="88"/>
        <v>1</v>
      </c>
      <c r="P233" s="367">
        <f t="shared" si="88"/>
        <v>1</v>
      </c>
      <c r="Q233" s="367">
        <f t="shared" si="88"/>
        <v>1</v>
      </c>
      <c r="R233" s="367">
        <f t="shared" si="88"/>
        <v>1</v>
      </c>
      <c r="S233" s="367">
        <f t="shared" si="88"/>
        <v>1</v>
      </c>
      <c r="T233" s="367">
        <f t="shared" si="85"/>
        <v>1</v>
      </c>
      <c r="U233" s="367">
        <f t="shared" si="85"/>
        <v>1</v>
      </c>
      <c r="V233" s="367">
        <f t="shared" si="85"/>
        <v>1</v>
      </c>
      <c r="W233" s="367">
        <f t="shared" si="85"/>
        <v>1</v>
      </c>
      <c r="X233" s="367">
        <f t="shared" si="85"/>
        <v>1</v>
      </c>
      <c r="Y233" s="367">
        <f t="shared" si="85"/>
        <v>1</v>
      </c>
      <c r="Z233" s="367">
        <f t="shared" si="85"/>
        <v>1</v>
      </c>
      <c r="AA233" s="367">
        <f t="shared" si="85"/>
        <v>1</v>
      </c>
      <c r="AB233" s="368">
        <f t="shared" si="85"/>
        <v>1</v>
      </c>
      <c r="AC233" s="370">
        <f t="shared" ca="1" si="86"/>
        <v>1</v>
      </c>
      <c r="AD233" s="369">
        <f t="shared" ca="1" si="87"/>
        <v>1</v>
      </c>
      <c r="AE233" s="362">
        <f t="shared" ca="1" si="89"/>
        <v>14807971.364</v>
      </c>
      <c r="AF233" s="363">
        <f t="shared" si="89"/>
        <v>0</v>
      </c>
      <c r="AG233" s="32">
        <f t="shared" ca="1" si="90"/>
        <v>14807971.364</v>
      </c>
      <c r="AH233" s="32">
        <f t="shared" ca="1" si="91"/>
        <v>5500656.6172627993</v>
      </c>
      <c r="AI233" s="32">
        <f t="shared" ca="1" si="92"/>
        <v>9307314.7467372008</v>
      </c>
      <c r="AJ233" s="31">
        <f t="shared" ca="1" si="93"/>
        <v>5500656.6172627993</v>
      </c>
      <c r="AK233" s="242">
        <f t="shared" ca="1" si="93"/>
        <v>9307314.7467372008</v>
      </c>
      <c r="AL233" s="429">
        <f ca="1">OFFSET(Tariff_SimCalculation!$O$27,,$C$181-rpm_start_year)</f>
        <v>5.4088939606380462E-2</v>
      </c>
    </row>
    <row r="234" spans="2:38" ht="15.75" thickBot="1">
      <c r="B234" s="365" t="s">
        <v>21</v>
      </c>
      <c r="C234" s="413" t="s">
        <v>35</v>
      </c>
      <c r="D234" s="418">
        <f t="shared" si="88"/>
        <v>1</v>
      </c>
      <c r="E234" s="419">
        <f t="shared" si="88"/>
        <v>1</v>
      </c>
      <c r="F234" s="419">
        <f t="shared" si="88"/>
        <v>1</v>
      </c>
      <c r="G234" s="419">
        <f t="shared" si="88"/>
        <v>1</v>
      </c>
      <c r="H234" s="419">
        <f t="shared" si="88"/>
        <v>1</v>
      </c>
      <c r="I234" s="419">
        <f t="shared" si="88"/>
        <v>1</v>
      </c>
      <c r="J234" s="419">
        <f t="shared" si="88"/>
        <v>1</v>
      </c>
      <c r="K234" s="419">
        <f t="shared" si="88"/>
        <v>1</v>
      </c>
      <c r="L234" s="419">
        <f t="shared" si="88"/>
        <v>1</v>
      </c>
      <c r="M234" s="419">
        <v>1</v>
      </c>
      <c r="N234" s="419">
        <v>1</v>
      </c>
      <c r="O234" s="419">
        <v>1</v>
      </c>
      <c r="P234" s="419">
        <f t="shared" si="88"/>
        <v>1</v>
      </c>
      <c r="Q234" s="419">
        <f t="shared" si="88"/>
        <v>1</v>
      </c>
      <c r="R234" s="419">
        <f t="shared" si="88"/>
        <v>1</v>
      </c>
      <c r="S234" s="419">
        <f t="shared" si="88"/>
        <v>1</v>
      </c>
      <c r="T234" s="419">
        <f t="shared" si="85"/>
        <v>1</v>
      </c>
      <c r="U234" s="419">
        <f t="shared" si="85"/>
        <v>1</v>
      </c>
      <c r="V234" s="419">
        <f t="shared" si="85"/>
        <v>1</v>
      </c>
      <c r="W234" s="419">
        <f t="shared" si="85"/>
        <v>1</v>
      </c>
      <c r="X234" s="419">
        <f t="shared" si="85"/>
        <v>1</v>
      </c>
      <c r="Y234" s="419">
        <f t="shared" si="85"/>
        <v>1</v>
      </c>
      <c r="Z234" s="419">
        <f t="shared" si="85"/>
        <v>1</v>
      </c>
      <c r="AA234" s="419">
        <f t="shared" si="85"/>
        <v>1</v>
      </c>
      <c r="AB234" s="420">
        <f t="shared" si="85"/>
        <v>1</v>
      </c>
      <c r="AC234" s="370">
        <f t="shared" ca="1" si="86"/>
        <v>1</v>
      </c>
      <c r="AD234" s="369">
        <f t="shared" ca="1" si="87"/>
        <v>1</v>
      </c>
      <c r="AE234" s="362">
        <f t="shared" ca="1" si="89"/>
        <v>1839918.1040000001</v>
      </c>
      <c r="AF234" s="363">
        <f t="shared" si="89"/>
        <v>0</v>
      </c>
      <c r="AG234" s="32">
        <f t="shared" ca="1" si="90"/>
        <v>1839918.1040000001</v>
      </c>
      <c r="AH234" s="32">
        <f ca="1">AG234-AI234</f>
        <v>683466.86019355967</v>
      </c>
      <c r="AI234" s="32">
        <f t="shared" ca="1" si="92"/>
        <v>1156451.2438064404</v>
      </c>
      <c r="AJ234" s="31">
        <f t="shared" ca="1" si="93"/>
        <v>683466.86019355967</v>
      </c>
      <c r="AK234" s="242">
        <f t="shared" ca="1" si="93"/>
        <v>1156451.2438064404</v>
      </c>
      <c r="AL234" s="429">
        <f ca="1">OFFSET(Tariff_SimCalculation!$O$27,,$C$181-rpm_start_year)</f>
        <v>5.4088939606380462E-2</v>
      </c>
    </row>
    <row r="235" spans="2:38" ht="15.75" thickBot="1">
      <c r="B235" s="371"/>
      <c r="C235" s="372" t="s">
        <v>269</v>
      </c>
      <c r="D235" s="415">
        <f ca="1">SUMPRODUCT(D225:D234,$AG$225:$AG$234)/SUM($AG$225:$AG$234)</f>
        <v>1</v>
      </c>
      <c r="E235" s="416">
        <f t="shared" ref="E235:AA235" ca="1" si="94">SUMPRODUCT(E225:E234,$AG$225:$AG$234)/SUM($AG$225:$AG$234)</f>
        <v>1</v>
      </c>
      <c r="F235" s="416">
        <f t="shared" ca="1" si="94"/>
        <v>1</v>
      </c>
      <c r="G235" s="416">
        <f t="shared" ca="1" si="94"/>
        <v>1</v>
      </c>
      <c r="H235" s="416">
        <f t="shared" ca="1" si="94"/>
        <v>1</v>
      </c>
      <c r="I235" s="416">
        <f t="shared" ca="1" si="94"/>
        <v>1</v>
      </c>
      <c r="J235" s="416">
        <f t="shared" ca="1" si="94"/>
        <v>1</v>
      </c>
      <c r="K235" s="416">
        <f t="shared" ca="1" si="94"/>
        <v>1</v>
      </c>
      <c r="L235" s="416">
        <f t="shared" ca="1" si="94"/>
        <v>1</v>
      </c>
      <c r="M235" s="416">
        <f t="shared" ca="1" si="94"/>
        <v>1</v>
      </c>
      <c r="N235" s="416">
        <f t="shared" ca="1" si="94"/>
        <v>1</v>
      </c>
      <c r="O235" s="416">
        <f t="shared" ca="1" si="94"/>
        <v>1</v>
      </c>
      <c r="P235" s="416">
        <f t="shared" ca="1" si="94"/>
        <v>1</v>
      </c>
      <c r="Q235" s="416">
        <f t="shared" ca="1" si="94"/>
        <v>1</v>
      </c>
      <c r="R235" s="416">
        <f t="shared" ca="1" si="94"/>
        <v>1</v>
      </c>
      <c r="S235" s="416">
        <f t="shared" ca="1" si="94"/>
        <v>1</v>
      </c>
      <c r="T235" s="416">
        <f t="shared" ca="1" si="94"/>
        <v>1</v>
      </c>
      <c r="U235" s="416">
        <f t="shared" ca="1" si="94"/>
        <v>1</v>
      </c>
      <c r="V235" s="416">
        <f t="shared" ca="1" si="94"/>
        <v>1</v>
      </c>
      <c r="W235" s="416">
        <f t="shared" ca="1" si="94"/>
        <v>1</v>
      </c>
      <c r="X235" s="416">
        <f t="shared" ca="1" si="94"/>
        <v>1</v>
      </c>
      <c r="Y235" s="416">
        <f t="shared" ca="1" si="94"/>
        <v>1</v>
      </c>
      <c r="Z235" s="416">
        <f t="shared" ca="1" si="94"/>
        <v>1</v>
      </c>
      <c r="AA235" s="416">
        <f t="shared" ca="1" si="94"/>
        <v>1</v>
      </c>
      <c r="AB235" s="417">
        <f ca="1">SUMPRODUCT(AB225:AB234,$AG$225:$AG$234)/SUM($AG$225:$AG$234)</f>
        <v>1</v>
      </c>
      <c r="AC235" s="373"/>
      <c r="AD235" s="374"/>
      <c r="AE235" s="362">
        <f t="shared" ca="1" si="89"/>
        <v>0</v>
      </c>
      <c r="AF235" s="363">
        <f t="shared" si="89"/>
        <v>0</v>
      </c>
      <c r="AG235" s="375"/>
      <c r="AH235" s="375"/>
      <c r="AI235" s="375"/>
      <c r="AJ235" s="375"/>
      <c r="AK235" s="375"/>
      <c r="AL235" s="427"/>
    </row>
    <row r="236" spans="2:38">
      <c r="B236" s="357" t="s">
        <v>261</v>
      </c>
      <c r="C236" s="361" t="s">
        <v>270</v>
      </c>
      <c r="D236" s="376">
        <f t="array" ref="D236:AB236" ca="1">TRANSPOSE($D$195:$D$219)</f>
        <v>0</v>
      </c>
      <c r="E236" s="376">
        <f ca="1"/>
        <v>0</v>
      </c>
      <c r="F236" s="376">
        <f ca="1"/>
        <v>0</v>
      </c>
      <c r="G236" s="376">
        <f ca="1"/>
        <v>23499000</v>
      </c>
      <c r="H236" s="376">
        <f ca="1"/>
        <v>0</v>
      </c>
      <c r="I236" s="376">
        <f ca="1"/>
        <v>6550835.1160000004</v>
      </c>
      <c r="J236" s="376">
        <v>0</v>
      </c>
      <c r="K236" s="376">
        <f ca="1"/>
        <v>0</v>
      </c>
      <c r="L236" s="376">
        <f ca="1"/>
        <v>14807971.364</v>
      </c>
      <c r="M236" s="376">
        <f ca="1"/>
        <v>10342766.256322246</v>
      </c>
      <c r="N236" s="376">
        <f ca="1"/>
        <v>0</v>
      </c>
      <c r="O236" s="376">
        <f ca="1"/>
        <v>0</v>
      </c>
      <c r="P236" s="376">
        <f ca="1"/>
        <v>0</v>
      </c>
      <c r="Q236" s="376">
        <f ca="1"/>
        <v>5307145.0307093691</v>
      </c>
      <c r="R236" s="376">
        <f ca="1"/>
        <v>0</v>
      </c>
      <c r="S236" s="376">
        <f ca="1"/>
        <v>47797388.712968387</v>
      </c>
      <c r="T236" s="376">
        <v>0</v>
      </c>
      <c r="U236" s="376">
        <v>0</v>
      </c>
      <c r="V236" s="376">
        <v>0</v>
      </c>
      <c r="W236" s="376">
        <v>0</v>
      </c>
      <c r="X236" s="376">
        <v>0</v>
      </c>
      <c r="Y236" s="376">
        <v>0</v>
      </c>
      <c r="Z236" s="376">
        <v>0</v>
      </c>
      <c r="AA236" s="376">
        <v>0</v>
      </c>
      <c r="AB236" s="376">
        <v>0</v>
      </c>
    </row>
    <row r="237" spans="2:38" ht="15.75" thickBot="1">
      <c r="B237" s="377" t="s">
        <v>262</v>
      </c>
      <c r="C237" s="374" t="s">
        <v>270</v>
      </c>
      <c r="D237" s="378">
        <f t="array" ref="D237:AB237">TRANSPOSE($E$195:$E$219)</f>
        <v>0</v>
      </c>
      <c r="E237" s="378">
        <v>0</v>
      </c>
      <c r="F237" s="378">
        <v>0</v>
      </c>
      <c r="G237" s="378">
        <v>0</v>
      </c>
      <c r="H237" s="378">
        <v>0</v>
      </c>
      <c r="I237" s="378">
        <v>0</v>
      </c>
      <c r="J237" s="378">
        <f ca="1"/>
        <v>16785000</v>
      </c>
      <c r="K237" s="378">
        <v>0</v>
      </c>
      <c r="L237" s="378">
        <v>0</v>
      </c>
      <c r="M237" s="378">
        <v>0</v>
      </c>
      <c r="N237" s="378">
        <v>0</v>
      </c>
      <c r="O237" s="378">
        <v>0</v>
      </c>
      <c r="P237" s="378">
        <v>0</v>
      </c>
      <c r="Q237" s="378">
        <v>0</v>
      </c>
      <c r="R237" s="378">
        <v>0</v>
      </c>
      <c r="S237" s="378">
        <v>0</v>
      </c>
      <c r="T237" s="378">
        <f ca="1"/>
        <v>2186104.8793942709</v>
      </c>
      <c r="U237" s="378">
        <f ca="1"/>
        <v>327926.64765303035</v>
      </c>
      <c r="V237" s="378">
        <f ca="1"/>
        <v>435526.38039500383</v>
      </c>
      <c r="W237" s="378">
        <f ca="1"/>
        <v>3840262.9408351826</v>
      </c>
      <c r="X237" s="378">
        <f ca="1"/>
        <v>217244.93821282857</v>
      </c>
      <c r="Y237" s="378">
        <f ca="1"/>
        <v>108612.63510291005</v>
      </c>
      <c r="Z237" s="378">
        <f ca="1"/>
        <v>43312.885034067054</v>
      </c>
      <c r="AA237" s="378">
        <f ca="1"/>
        <v>216519.18875421581</v>
      </c>
      <c r="AB237" s="378">
        <f ca="1"/>
        <v>559631.50461849093</v>
      </c>
    </row>
    <row r="238" spans="2:38" ht="15.75" thickBot="1">
      <c r="B238" s="379" t="s">
        <v>263</v>
      </c>
      <c r="C238" s="380" t="s">
        <v>270</v>
      </c>
      <c r="D238" s="381">
        <f t="shared" ref="D238:AB238" ca="1" si="95">D236+D237</f>
        <v>0</v>
      </c>
      <c r="E238" s="382">
        <f t="shared" ca="1" si="95"/>
        <v>0</v>
      </c>
      <c r="F238" s="382">
        <f t="shared" ca="1" si="95"/>
        <v>0</v>
      </c>
      <c r="G238" s="382">
        <f t="shared" ca="1" si="95"/>
        <v>23499000</v>
      </c>
      <c r="H238" s="382">
        <f t="shared" ca="1" si="95"/>
        <v>0</v>
      </c>
      <c r="I238" s="382">
        <f t="shared" ca="1" si="95"/>
        <v>6550835.1160000004</v>
      </c>
      <c r="J238" s="382">
        <f t="shared" ca="1" si="95"/>
        <v>16785000</v>
      </c>
      <c r="K238" s="382">
        <f t="shared" ca="1" si="95"/>
        <v>0</v>
      </c>
      <c r="L238" s="382">
        <f t="shared" ca="1" si="95"/>
        <v>14807971.364</v>
      </c>
      <c r="M238" s="382">
        <f t="shared" ca="1" si="95"/>
        <v>10342766.256322246</v>
      </c>
      <c r="N238" s="382">
        <f t="shared" ca="1" si="95"/>
        <v>0</v>
      </c>
      <c r="O238" s="382">
        <f t="shared" ca="1" si="95"/>
        <v>0</v>
      </c>
      <c r="P238" s="382">
        <f t="shared" ca="1" si="95"/>
        <v>0</v>
      </c>
      <c r="Q238" s="382">
        <f t="shared" ca="1" si="95"/>
        <v>5307145.0307093691</v>
      </c>
      <c r="R238" s="382">
        <f t="shared" ca="1" si="95"/>
        <v>0</v>
      </c>
      <c r="S238" s="382">
        <f t="shared" ca="1" si="95"/>
        <v>47797388.712968387</v>
      </c>
      <c r="T238" s="382">
        <f t="shared" ca="1" si="95"/>
        <v>2186104.8793942709</v>
      </c>
      <c r="U238" s="382">
        <f t="shared" ca="1" si="95"/>
        <v>327926.64765303035</v>
      </c>
      <c r="V238" s="382">
        <f t="shared" ca="1" si="95"/>
        <v>435526.38039500383</v>
      </c>
      <c r="W238" s="382">
        <f t="shared" ca="1" si="95"/>
        <v>3840262.9408351826</v>
      </c>
      <c r="X238" s="382">
        <f t="shared" ca="1" si="95"/>
        <v>217244.93821282857</v>
      </c>
      <c r="Y238" s="382">
        <f t="shared" ca="1" si="95"/>
        <v>108612.63510291005</v>
      </c>
      <c r="Z238" s="382">
        <f t="shared" ca="1" si="95"/>
        <v>43312.885034067054</v>
      </c>
      <c r="AA238" s="382">
        <f t="shared" ca="1" si="95"/>
        <v>216519.18875421581</v>
      </c>
      <c r="AB238" s="383">
        <f t="shared" ca="1" si="95"/>
        <v>559631.50461849093</v>
      </c>
    </row>
    <row r="239" spans="2:38" ht="15.75" thickBot="1">
      <c r="B239" s="384" t="s">
        <v>271</v>
      </c>
      <c r="C239" s="385" t="str">
        <f>"in kWh/a "&amp;IF(C223="Yes","*km","")</f>
        <v xml:space="preserve">in kWh/a </v>
      </c>
      <c r="D239" s="422">
        <f ca="1">D238*D235</f>
        <v>0</v>
      </c>
      <c r="E239" s="423">
        <f ca="1">E238*E235</f>
        <v>0</v>
      </c>
      <c r="F239" s="423">
        <f ca="1">F238*F235</f>
        <v>0</v>
      </c>
      <c r="G239" s="423">
        <f ca="1">G238*G235</f>
        <v>23499000</v>
      </c>
      <c r="H239" s="423">
        <f ca="1">H238*H235</f>
        <v>0</v>
      </c>
      <c r="I239" s="423">
        <f t="shared" ref="I239:AB239" ca="1" si="96">I238*I235</f>
        <v>6550835.1160000004</v>
      </c>
      <c r="J239" s="423">
        <f t="shared" ca="1" si="96"/>
        <v>16785000</v>
      </c>
      <c r="K239" s="423">
        <f t="shared" ca="1" si="96"/>
        <v>0</v>
      </c>
      <c r="L239" s="423">
        <f t="shared" ca="1" si="96"/>
        <v>14807971.364</v>
      </c>
      <c r="M239" s="423">
        <f t="shared" ca="1" si="96"/>
        <v>10342766.256322246</v>
      </c>
      <c r="N239" s="423">
        <f t="shared" ca="1" si="96"/>
        <v>0</v>
      </c>
      <c r="O239" s="423">
        <f t="shared" ca="1" si="96"/>
        <v>0</v>
      </c>
      <c r="P239" s="423">
        <f t="shared" ca="1" si="96"/>
        <v>0</v>
      </c>
      <c r="Q239" s="423">
        <f t="shared" ca="1" si="96"/>
        <v>5307145.0307093691</v>
      </c>
      <c r="R239" s="423">
        <f t="shared" ca="1" si="96"/>
        <v>0</v>
      </c>
      <c r="S239" s="423">
        <f t="shared" ca="1" si="96"/>
        <v>47797388.712968387</v>
      </c>
      <c r="T239" s="423">
        <f t="shared" ca="1" si="96"/>
        <v>2186104.8793942709</v>
      </c>
      <c r="U239" s="423">
        <f t="shared" ca="1" si="96"/>
        <v>327926.64765303035</v>
      </c>
      <c r="V239" s="423">
        <f t="shared" ca="1" si="96"/>
        <v>435526.38039500383</v>
      </c>
      <c r="W239" s="423">
        <f t="shared" ca="1" si="96"/>
        <v>3840262.9408351826</v>
      </c>
      <c r="X239" s="423">
        <f t="shared" ca="1" si="96"/>
        <v>217244.93821282857</v>
      </c>
      <c r="Y239" s="423">
        <f t="shared" ca="1" si="96"/>
        <v>108612.63510291005</v>
      </c>
      <c r="Z239" s="423">
        <f t="shared" ca="1" si="96"/>
        <v>43312.885034067054</v>
      </c>
      <c r="AA239" s="423">
        <f t="shared" ca="1" si="96"/>
        <v>216519.18875421581</v>
      </c>
      <c r="AB239" s="424">
        <f t="shared" ca="1" si="96"/>
        <v>559631.50461849093</v>
      </c>
    </row>
    <row r="240" spans="2:38" ht="15.75" thickBot="1">
      <c r="B240" s="377" t="s">
        <v>272</v>
      </c>
      <c r="C240" s="421" t="s">
        <v>124</v>
      </c>
      <c r="D240" s="428">
        <f ca="1">OFFSET(Tariff_SimCalculation!$O$28,,$C$181-rpm_start_year)</f>
        <v>0.11963250910516171</v>
      </c>
      <c r="E240" s="428">
        <f ca="1">OFFSET(Tariff_SimCalculation!$O$28,,$C$181-rpm_start_year)</f>
        <v>0.11963250910516171</v>
      </c>
      <c r="F240" s="428">
        <f ca="1">OFFSET(Tariff_SimCalculation!$O$28,,$C$181-rpm_start_year)</f>
        <v>0.11963250910516171</v>
      </c>
      <c r="G240" s="428">
        <f ca="1">OFFSET(Tariff_SimCalculation!$O$28,,$C$181-rpm_start_year)</f>
        <v>0.11963250910516171</v>
      </c>
      <c r="H240" s="428">
        <f ca="1">OFFSET(Tariff_SimCalculation!$O$28,,$C$181-rpm_start_year)</f>
        <v>0.11963250910516171</v>
      </c>
      <c r="I240" s="428">
        <f ca="1">OFFSET(Tariff_SimCalculation!$O$28,,$C$181-rpm_start_year)</f>
        <v>0.11963250910516171</v>
      </c>
      <c r="J240" s="428">
        <f ca="1">OFFSET(Tariff_SimCalculation!$O$28,,$C$181-rpm_start_year)</f>
        <v>0.11963250910516171</v>
      </c>
      <c r="K240" s="428">
        <f ca="1">OFFSET(Tariff_SimCalculation!$O$28,,$C$181-rpm_start_year)</f>
        <v>0.11963250910516171</v>
      </c>
      <c r="L240" s="428">
        <f ca="1">OFFSET(Tariff_SimCalculation!$O$28,,$C$181-rpm_start_year)</f>
        <v>0.11963250910516171</v>
      </c>
      <c r="M240" s="428">
        <f ca="1">OFFSET(Tariff_SimCalculation!$O$28,,$C$181-rpm_start_year)</f>
        <v>0.11963250910516171</v>
      </c>
      <c r="N240" s="428">
        <f ca="1">OFFSET(Tariff_SimCalculation!$O$28,,$C$181-rpm_start_year)</f>
        <v>0.11963250910516171</v>
      </c>
      <c r="O240" s="428">
        <f ca="1">OFFSET(Tariff_SimCalculation!$O$28,,$C$181-rpm_start_year)</f>
        <v>0.11963250910516171</v>
      </c>
      <c r="P240" s="428">
        <f ca="1">OFFSET(Tariff_SimCalculation!$O$28,,$C$181-rpm_start_year)</f>
        <v>0.11963250910516171</v>
      </c>
      <c r="Q240" s="428">
        <f ca="1">OFFSET(Tariff_SimCalculation!$O$28,,$C$181-rpm_start_year)</f>
        <v>0.11963250910516171</v>
      </c>
      <c r="R240" s="428">
        <f ca="1">OFFSET(Tariff_SimCalculation!$O$28,,$C$181-rpm_start_year)</f>
        <v>0.11963250910516171</v>
      </c>
      <c r="S240" s="428">
        <f ca="1">OFFSET(Tariff_SimCalculation!$O$28,,$C$181-rpm_start_year)</f>
        <v>0.11963250910516171</v>
      </c>
      <c r="T240" s="428">
        <f ca="1">OFFSET(Tariff_SimCalculation!$O$28,,$C$181-rpm_start_year)</f>
        <v>0.11963250910516171</v>
      </c>
      <c r="U240" s="428">
        <f ca="1">OFFSET(Tariff_SimCalculation!$O$28,,$C$181-rpm_start_year)</f>
        <v>0.11963250910516171</v>
      </c>
      <c r="V240" s="428">
        <f ca="1">OFFSET(Tariff_SimCalculation!$O$28,,$C$181-rpm_start_year)</f>
        <v>0.11963250910516171</v>
      </c>
      <c r="W240" s="428">
        <f ca="1">OFFSET(Tariff_SimCalculation!$O$28,,$C$181-rpm_start_year)</f>
        <v>0.11963250910516171</v>
      </c>
      <c r="X240" s="428">
        <f ca="1">OFFSET(Tariff_SimCalculation!$O$28,,$C$181-rpm_start_year)</f>
        <v>0.11963250910516171</v>
      </c>
      <c r="Y240" s="428">
        <f ca="1">OFFSET(Tariff_SimCalculation!$O$28,,$C$181-rpm_start_year)</f>
        <v>0.11963250910516171</v>
      </c>
      <c r="Z240" s="428">
        <f ca="1">OFFSET(Tariff_SimCalculation!$O$28,,$C$181-rpm_start_year)</f>
        <v>0.11963250910516171</v>
      </c>
      <c r="AA240" s="428">
        <f ca="1">OFFSET(Tariff_SimCalculation!$O$28,,$C$181-rpm_start_year)</f>
        <v>0.11963250910516171</v>
      </c>
      <c r="AB240" s="428">
        <f ca="1">OFFSET(Tariff_SimCalculation!$O$28,,$C$181-rpm_start_year)</f>
        <v>0.11963250910516171</v>
      </c>
    </row>
    <row r="241" spans="3:9">
      <c r="C241" s="42"/>
    </row>
    <row r="242" spans="3:9" ht="15.75" thickBot="1"/>
    <row r="243" spans="3:9">
      <c r="D243" s="386" t="s">
        <v>273</v>
      </c>
      <c r="E243" s="387">
        <f ca="1">SUMPRODUCT(AH225:AH234,AL225:AL234)</f>
        <v>1970520.7131354813</v>
      </c>
    </row>
    <row r="244" spans="3:9">
      <c r="D244" s="388" t="s">
        <v>274</v>
      </c>
      <c r="E244" s="389">
        <f ca="1">SUMPRODUCT(AI225:AI234,AL225:AL234)</f>
        <v>3334194.0368645177</v>
      </c>
    </row>
    <row r="245" spans="3:9">
      <c r="D245" s="388" t="s">
        <v>93</v>
      </c>
      <c r="E245" s="390">
        <f ca="1">SUMPRODUCT(D238:AB238*D240:AB240*(D223:AB223="Intra"))</f>
        <v>8539660.6425136775</v>
      </c>
    </row>
    <row r="246" spans="3:9" ht="15.75" thickBot="1">
      <c r="D246" s="391" t="s">
        <v>94</v>
      </c>
      <c r="E246" s="392">
        <f ca="1">SUMPRODUCT(D238:AB238*D240:AB240*(D223:AB223="Cross"))</f>
        <v>7374483.6074863216</v>
      </c>
    </row>
    <row r="247" spans="3:9">
      <c r="D247" s="393" t="s">
        <v>64</v>
      </c>
      <c r="E247" s="394">
        <f ca="1">E243+E245</f>
        <v>10510181.355649158</v>
      </c>
    </row>
    <row r="248" spans="3:9" ht="15.75" thickBot="1">
      <c r="D248" s="395" t="s">
        <v>65</v>
      </c>
      <c r="E248" s="396">
        <f ca="1">E244+E246</f>
        <v>10708677.64435084</v>
      </c>
      <c r="G248" s="63"/>
    </row>
    <row r="249" spans="3:9" ht="15.75" thickBot="1">
      <c r="D249" s="397"/>
      <c r="E249" s="398"/>
    </row>
    <row r="250" spans="3:9">
      <c r="D250" s="386" t="s">
        <v>66</v>
      </c>
      <c r="E250" s="399">
        <f ca="1">SUM(AJ225:AJ234)</f>
        <v>36431121.176999994</v>
      </c>
    </row>
    <row r="251" spans="3:9" ht="15.75" thickBot="1">
      <c r="D251" s="391" t="s">
        <v>67</v>
      </c>
      <c r="E251" s="400">
        <f ca="1">SUMPRODUCT(D239:AB239*(D223:AB223="Intra"))</f>
        <v>71382442</v>
      </c>
      <c r="I251" s="67"/>
    </row>
    <row r="252" spans="3:9" ht="15.75" thickBot="1">
      <c r="D252" s="401" t="s">
        <v>68</v>
      </c>
      <c r="E252" s="402">
        <f ca="1">E250+E251</f>
        <v>107813563.17699999</v>
      </c>
      <c r="G252" s="63"/>
    </row>
    <row r="253" spans="3:9">
      <c r="D253" s="403" t="s">
        <v>70</v>
      </c>
      <c r="E253" s="404">
        <f ca="1">SUM(AK225:AK234)</f>
        <v>61642806.479999989</v>
      </c>
    </row>
    <row r="254" spans="3:9" ht="15.75" thickBot="1">
      <c r="D254" s="391" t="s">
        <v>72</v>
      </c>
      <c r="E254" s="400">
        <f ca="1">SUMPRODUCT(D239:AB239*(D223:AB223="Cross"))</f>
        <v>61642806.479999997</v>
      </c>
    </row>
    <row r="255" spans="3:9" ht="15.75" thickBot="1">
      <c r="D255" s="401" t="s">
        <v>73</v>
      </c>
      <c r="E255" s="402">
        <f ca="1">E253+E254</f>
        <v>123285612.95999998</v>
      </c>
    </row>
    <row r="256" spans="3:9">
      <c r="D256" s="5"/>
      <c r="E256" s="5"/>
      <c r="F256" s="5"/>
    </row>
    <row r="257" spans="4:6" ht="15.75" thickBot="1">
      <c r="D257" s="5"/>
      <c r="E257" s="5"/>
      <c r="F257" s="5"/>
    </row>
    <row r="258" spans="4:6" ht="15.75" thickBot="1">
      <c r="D258" s="5"/>
      <c r="E258" s="405" t="s">
        <v>74</v>
      </c>
      <c r="F258" s="5"/>
    </row>
    <row r="259" spans="4:6">
      <c r="D259" s="406" t="s">
        <v>69</v>
      </c>
      <c r="E259" s="430">
        <f ca="1">E247/E252*1000</f>
        <v>97.484778778662147</v>
      </c>
      <c r="F259" s="5"/>
    </row>
    <row r="260" spans="4:6">
      <c r="D260" s="407" t="s">
        <v>71</v>
      </c>
      <c r="E260" s="431">
        <f ca="1">E248/E255*1000</f>
        <v>86.860724355771112</v>
      </c>
    </row>
    <row r="261" spans="4:6" ht="15.75" thickBot="1">
      <c r="D261" s="408" t="s">
        <v>275</v>
      </c>
      <c r="E261" s="409">
        <f ca="1">2*(ABS(E259-E260))/(E259+E260)</f>
        <v>0.11526242020824867</v>
      </c>
    </row>
    <row r="262" spans="4:6" ht="30">
      <c r="E262" s="410" t="str">
        <f ca="1">IF(E261&lt;0.1,"justification not required","justification required!")</f>
        <v>justification required!</v>
      </c>
    </row>
    <row r="273" spans="8:9">
      <c r="H273"/>
      <c r="I273"/>
    </row>
    <row r="274" spans="8:9">
      <c r="H274"/>
      <c r="I274"/>
    </row>
    <row r="275" spans="8:9">
      <c r="H275"/>
      <c r="I275"/>
    </row>
    <row r="276" spans="8:9">
      <c r="H276"/>
      <c r="I276"/>
    </row>
    <row r="277" spans="8:9">
      <c r="H277"/>
      <c r="I277"/>
    </row>
    <row r="278" spans="8:9">
      <c r="H278"/>
      <c r="I278"/>
    </row>
    <row r="279" spans="8:9">
      <c r="H279"/>
      <c r="I279"/>
    </row>
    <row r="280" spans="8:9">
      <c r="H280"/>
      <c r="I280"/>
    </row>
    <row r="281" spans="8:9">
      <c r="H281"/>
      <c r="I281"/>
    </row>
    <row r="282" spans="8:9">
      <c r="H282"/>
      <c r="I282"/>
    </row>
  </sheetData>
  <mergeCells count="1">
    <mergeCell ref="J175:K175"/>
  </mergeCells>
  <conditionalFormatting sqref="A56:A80">
    <cfRule type="cellIs" dxfId="71" priority="36" operator="equal">
      <formula>1</formula>
    </cfRule>
  </conditionalFormatting>
  <conditionalFormatting sqref="B128:B129">
    <cfRule type="cellIs" dxfId="70" priority="20" operator="equal">
      <formula>0</formula>
    </cfRule>
  </conditionalFormatting>
  <conditionalFormatting sqref="B141">
    <cfRule type="cellIs" dxfId="69" priority="12" operator="equal">
      <formula>0</formula>
    </cfRule>
  </conditionalFormatting>
  <conditionalFormatting sqref="B145:B156">
    <cfRule type="cellIs" dxfId="68" priority="13" operator="equal">
      <formula>0</formula>
    </cfRule>
  </conditionalFormatting>
  <conditionalFormatting sqref="C1">
    <cfRule type="cellIs" dxfId="67" priority="37" operator="equal">
      <formula>"OK"</formula>
    </cfRule>
  </conditionalFormatting>
  <conditionalFormatting sqref="D128:D129">
    <cfRule type="cellIs" dxfId="66" priority="29" operator="equal">
      <formula>0</formula>
    </cfRule>
  </conditionalFormatting>
  <conditionalFormatting sqref="D132:D133">
    <cfRule type="cellIs" dxfId="65" priority="26" operator="equal">
      <formula>0</formula>
    </cfRule>
  </conditionalFormatting>
  <conditionalFormatting sqref="D217:D219">
    <cfRule type="dataBar" priority="1">
      <dataBar>
        <cfvo type="min"/>
        <cfvo type="max"/>
        <color rgb="FF638EC6"/>
      </dataBar>
      <extLst>
        <ext xmlns:x14="http://schemas.microsoft.com/office/spreadsheetml/2009/9/main" uri="{B025F937-C7B1-47D3-B67F-A62EFF666E3E}">
          <x14:id>{2CF48EB8-21A2-43A5-94D6-9C371FF8AF58}</x14:id>
        </ext>
      </extLst>
    </cfRule>
  </conditionalFormatting>
  <conditionalFormatting sqref="D236:AB237">
    <cfRule type="dataBar" priority="8">
      <dataBar>
        <cfvo type="min"/>
        <cfvo type="max"/>
        <color rgb="FF638EC6"/>
      </dataBar>
      <extLst>
        <ext xmlns:x14="http://schemas.microsoft.com/office/spreadsheetml/2009/9/main" uri="{B025F937-C7B1-47D3-B67F-A62EFF666E3E}">
          <x14:id>{C36ADD25-EB00-4514-9843-1F858EF65071}</x14:id>
        </ext>
      </extLst>
    </cfRule>
  </conditionalFormatting>
  <conditionalFormatting sqref="D107:AC118 AS108:AT108 D123:D126">
    <cfRule type="cellIs" dxfId="64" priority="34" operator="equal">
      <formula>0</formula>
    </cfRule>
  </conditionalFormatting>
  <conditionalFormatting sqref="D143:AE143 D144:AC154">
    <cfRule type="cellIs" dxfId="63" priority="16" operator="equal">
      <formula>0</formula>
    </cfRule>
  </conditionalFormatting>
  <conditionalFormatting sqref="D224:AL224">
    <cfRule type="cellIs" dxfId="62" priority="10" operator="equal">
      <formula>0</formula>
    </cfRule>
  </conditionalFormatting>
  <conditionalFormatting sqref="E126:F126">
    <cfRule type="cellIs" dxfId="61" priority="19" operator="equal">
      <formula>0</formula>
    </cfRule>
  </conditionalFormatting>
  <conditionalFormatting sqref="E129:M129 Z129:AC129">
    <cfRule type="cellIs" dxfId="60" priority="28" operator="equal">
      <formula>0</formula>
    </cfRule>
  </conditionalFormatting>
  <conditionalFormatting sqref="E119:AC120">
    <cfRule type="cellIs" dxfId="59" priority="33" operator="equal">
      <formula>0</formula>
    </cfRule>
  </conditionalFormatting>
  <conditionalFormatting sqref="E124:AC124">
    <cfRule type="cellIs" dxfId="58" priority="30" operator="equal">
      <formula>0</formula>
    </cfRule>
  </conditionalFormatting>
  <conditionalFormatting sqref="E133:AC133">
    <cfRule type="cellIs" dxfId="57" priority="25" operator="equal">
      <formula>0</formula>
    </cfRule>
  </conditionalFormatting>
  <conditionalFormatting sqref="E155:AC156">
    <cfRule type="cellIs" dxfId="56" priority="15" operator="equal">
      <formula>0</formula>
    </cfRule>
  </conditionalFormatting>
  <conditionalFormatting sqref="G40">
    <cfRule type="cellIs" dxfId="55" priority="11" operator="equal">
      <formula>FALSE</formula>
    </cfRule>
  </conditionalFormatting>
  <conditionalFormatting sqref="L126:M126">
    <cfRule type="cellIs" dxfId="54" priority="18" operator="equal">
      <formula>0</formula>
    </cfRule>
  </conditionalFormatting>
  <conditionalFormatting sqref="N135:AB135 N136:AC138">
    <cfRule type="cellIs" dxfId="53" priority="41" operator="equal">
      <formula>0</formula>
    </cfRule>
  </conditionalFormatting>
  <conditionalFormatting sqref="O53:O79 P67:R68">
    <cfRule type="expression" dxfId="52" priority="6">
      <formula>$O53&lt;$M53</formula>
    </cfRule>
  </conditionalFormatting>
  <conditionalFormatting sqref="P68">
    <cfRule type="expression" dxfId="51" priority="4">
      <formula>$O68&lt;$M68</formula>
    </cfRule>
  </conditionalFormatting>
  <conditionalFormatting sqref="T135:U138">
    <cfRule type="cellIs" dxfId="50" priority="42" operator="equal">
      <formula>0</formula>
    </cfRule>
  </conditionalFormatting>
  <conditionalFormatting sqref="V7:V28">
    <cfRule type="dataBar" priority="44">
      <dataBar>
        <cfvo type="min"/>
        <cfvo type="max"/>
        <color theme="9"/>
      </dataBar>
      <extLst>
        <ext xmlns:x14="http://schemas.microsoft.com/office/spreadsheetml/2009/9/main" uri="{B025F937-C7B1-47D3-B67F-A62EFF666E3E}">
          <x14:id>{8150F668-DD70-4606-9B9C-FF89A3A387F4}</x14:id>
        </ext>
      </extLst>
    </cfRule>
  </conditionalFormatting>
  <conditionalFormatting sqref="V37:V42">
    <cfRule type="dataBar" priority="43">
      <dataBar>
        <cfvo type="min"/>
        <cfvo type="max"/>
        <color theme="9"/>
      </dataBar>
      <extLst>
        <ext xmlns:x14="http://schemas.microsoft.com/office/spreadsheetml/2009/9/main" uri="{B025F937-C7B1-47D3-B67F-A62EFF666E3E}">
          <x14:id>{E8011F29-4995-4C7E-AD2B-4BA945EA99D1}</x14:id>
        </ext>
      </extLst>
    </cfRule>
  </conditionalFormatting>
  <conditionalFormatting sqref="Z126:AC126">
    <cfRule type="cellIs" dxfId="49" priority="17" operator="equal">
      <formula>0</formula>
    </cfRule>
  </conditionalFormatting>
  <conditionalFormatting sqref="AD109:AE118">
    <cfRule type="cellIs" dxfId="48" priority="32" operator="equal">
      <formula>0</formula>
    </cfRule>
  </conditionalFormatting>
  <conditionalFormatting sqref="AD145:AE154">
    <cfRule type="cellIs" dxfId="47" priority="14" operator="equal">
      <formula>0</formula>
    </cfRule>
  </conditionalFormatting>
  <conditionalFormatting sqref="AD134:AI138">
    <cfRule type="cellIs" dxfId="46" priority="38" operator="equal">
      <formula>0</formula>
    </cfRule>
  </conditionalFormatting>
  <conditionalFormatting sqref="AE225:AF235">
    <cfRule type="dataBar" priority="9">
      <dataBar>
        <cfvo type="min"/>
        <cfvo type="max"/>
        <color rgb="FF638EC6"/>
      </dataBar>
      <extLst>
        <ext xmlns:x14="http://schemas.microsoft.com/office/spreadsheetml/2009/9/main" uri="{B025F937-C7B1-47D3-B67F-A62EFF666E3E}">
          <x14:id>{ED302D20-34DC-42A1-BCAB-C165784806C4}</x14:id>
        </ext>
      </extLst>
    </cfRule>
  </conditionalFormatting>
  <conditionalFormatting sqref="AG104">
    <cfRule type="cellIs" dxfId="45" priority="5" operator="equal">
      <formula>0</formula>
    </cfRule>
  </conditionalFormatting>
  <conditionalFormatting sqref="AI109:AI118">
    <cfRule type="cellIs" dxfId="44" priority="31" operator="equal">
      <formula>0</formula>
    </cfRule>
  </conditionalFormatting>
  <conditionalFormatting sqref="AJ135:AK135 AJ138:AK138">
    <cfRule type="cellIs" dxfId="43" priority="40" operator="equal">
      <formula>0</formula>
    </cfRule>
  </conditionalFormatting>
  <conditionalFormatting sqref="AK108:AL108">
    <cfRule type="cellIs" dxfId="42" priority="23" operator="equal">
      <formula>0</formula>
    </cfRule>
  </conditionalFormatting>
  <conditionalFormatting sqref="AL109:AL118">
    <cfRule type="cellIs" dxfId="41" priority="22" operator="equal">
      <formula>0</formula>
    </cfRule>
  </conditionalFormatting>
  <conditionalFormatting sqref="AL134:AL138">
    <cfRule type="cellIs" dxfId="40" priority="35" operator="equal">
      <formula>0</formula>
    </cfRule>
  </conditionalFormatting>
  <conditionalFormatting sqref="AM134:AM135">
    <cfRule type="cellIs" dxfId="39" priority="39" operator="equal">
      <formula>0</formula>
    </cfRule>
  </conditionalFormatting>
  <conditionalFormatting sqref="AO108:AP108">
    <cfRule type="cellIs" dxfId="38" priority="27" operator="equal">
      <formula>0</formula>
    </cfRule>
  </conditionalFormatting>
  <conditionalFormatting sqref="AP109:AP118">
    <cfRule type="cellIs" dxfId="37" priority="21" operator="equal">
      <formula>0</formula>
    </cfRule>
  </conditionalFormatting>
  <conditionalFormatting sqref="AT109:AT118">
    <cfRule type="cellIs" dxfId="36" priority="24" operator="equal">
      <formula>0</formula>
    </cfRule>
  </conditionalFormatting>
  <conditionalFormatting sqref="AZ109:BX118">
    <cfRule type="colorScale" priority="3">
      <colorScale>
        <cfvo type="min"/>
        <cfvo type="max"/>
        <color rgb="FFFCFCFF"/>
        <color rgb="FF63BE7B"/>
      </colorScale>
    </cfRule>
  </conditionalFormatting>
  <dataValidations disablePrompts="1" count="1">
    <dataValidation type="list" allowBlank="1" showInputMessage="1" showErrorMessage="1" sqref="C223 C143" xr:uid="{E46DE026-8FFD-41BB-9BA6-C9F1DDBE492E}">
      <formula1>#REF!</formula1>
    </dataValidation>
  </dataValidations>
  <pageMargins left="0.7" right="0.7" top="0.78740157499999996" bottom="0.78740157499999996"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dataBar" id="{2CF48EB8-21A2-43A5-94D6-9C371FF8AF58}">
            <x14:dataBar minLength="0" maxLength="100" gradient="0">
              <x14:cfvo type="autoMin"/>
              <x14:cfvo type="autoMax"/>
              <x14:negativeFillColor rgb="FFFF0000"/>
              <x14:axisColor rgb="FF000000"/>
            </x14:dataBar>
          </x14:cfRule>
          <xm:sqref>D217:D219</xm:sqref>
        </x14:conditionalFormatting>
        <x14:conditionalFormatting xmlns:xm="http://schemas.microsoft.com/office/excel/2006/main">
          <x14:cfRule type="dataBar" id="{C36ADD25-EB00-4514-9843-1F858EF65071}">
            <x14:dataBar minLength="0" maxLength="100" gradient="0">
              <x14:cfvo type="autoMin"/>
              <x14:cfvo type="autoMax"/>
              <x14:negativeFillColor rgb="FFFF0000"/>
              <x14:axisColor rgb="FF000000"/>
            </x14:dataBar>
          </x14:cfRule>
          <xm:sqref>D236:AB237</xm:sqref>
        </x14:conditionalFormatting>
        <x14:conditionalFormatting xmlns:xm="http://schemas.microsoft.com/office/excel/2006/main">
          <x14:cfRule type="dataBar" id="{8150F668-DD70-4606-9B9C-FF89A3A387F4}">
            <x14:dataBar minLength="0" maxLength="100" gradient="0" direction="leftToRight">
              <x14:cfvo type="autoMin"/>
              <x14:cfvo type="autoMax"/>
              <x14:negativeFillColor rgb="FFFF0000"/>
              <x14:axisColor rgb="FF000000"/>
            </x14:dataBar>
          </x14:cfRule>
          <xm:sqref>V7:V28</xm:sqref>
        </x14:conditionalFormatting>
        <x14:conditionalFormatting xmlns:xm="http://schemas.microsoft.com/office/excel/2006/main">
          <x14:cfRule type="dataBar" id="{E8011F29-4995-4C7E-AD2B-4BA945EA99D1}">
            <x14:dataBar minLength="0" maxLength="100" gradient="0" direction="leftToRight">
              <x14:cfvo type="autoMin"/>
              <x14:cfvo type="autoMax"/>
              <x14:negativeFillColor rgb="FFFF0000"/>
              <x14:axisColor rgb="FF000000"/>
            </x14:dataBar>
          </x14:cfRule>
          <xm:sqref>V37:V42</xm:sqref>
        </x14:conditionalFormatting>
        <x14:conditionalFormatting xmlns:xm="http://schemas.microsoft.com/office/excel/2006/main">
          <x14:cfRule type="dataBar" id="{ED302D20-34DC-42A1-BCAB-C165784806C4}">
            <x14:dataBar minLength="0" maxLength="100" gradient="0">
              <x14:cfvo type="autoMin"/>
              <x14:cfvo type="autoMax"/>
              <x14:negativeFillColor rgb="FFFF0000"/>
              <x14:axisColor rgb="FF000000"/>
            </x14:dataBar>
          </x14:cfRule>
          <xm:sqref>AE225:AF235</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2E37F3-D80C-4910-8EA0-FED33A795A07}">
  <sheetPr>
    <tabColor rgb="FF00B0F0"/>
    <outlinePr summaryBelow="0" summaryRight="0"/>
  </sheetPr>
  <dimension ref="A1:BX282"/>
  <sheetViews>
    <sheetView showGridLines="0" topLeftCell="A12" zoomScale="85" zoomScaleNormal="85" workbookViewId="0">
      <selection activeCell="O55" sqref="O55:O100"/>
    </sheetView>
  </sheetViews>
  <sheetFormatPr baseColWidth="10" defaultColWidth="11.42578125" defaultRowHeight="15" outlineLevelRow="1"/>
  <cols>
    <col min="1" max="1" width="6.5703125" customWidth="1"/>
    <col min="2" max="2" width="37.140625" customWidth="1"/>
    <col min="3" max="3" width="15.42578125" customWidth="1"/>
    <col min="4" max="4" width="13.5703125" customWidth="1"/>
    <col min="5" max="5" width="18.5703125" customWidth="1"/>
    <col min="6" max="6" width="18.140625" customWidth="1"/>
    <col min="7" max="7" width="12.5703125" bestFit="1" customWidth="1"/>
    <col min="8" max="8" width="13.5703125" style="5" customWidth="1"/>
    <col min="9" max="9" width="13" style="5" customWidth="1"/>
    <col min="10" max="10" width="11.42578125" customWidth="1"/>
    <col min="11" max="20" width="13" customWidth="1"/>
    <col min="21" max="21" width="15.140625" bestFit="1" customWidth="1"/>
    <col min="22" max="22" width="16.140625" customWidth="1"/>
    <col min="23" max="28" width="13" customWidth="1"/>
    <col min="29" max="29" width="17" customWidth="1"/>
    <col min="30" max="30" width="15.85546875" bestFit="1" customWidth="1"/>
    <col min="31" max="31" width="14" bestFit="1" customWidth="1"/>
    <col min="32" max="32" width="11.5703125" customWidth="1"/>
    <col min="33" max="33" width="11.85546875" customWidth="1"/>
    <col min="34" max="34" width="15.85546875" bestFit="1" customWidth="1"/>
    <col min="36" max="36" width="15.42578125" customWidth="1"/>
    <col min="37" max="37" width="14" customWidth="1"/>
    <col min="38" max="38" width="22.5703125" customWidth="1"/>
    <col min="39" max="39" width="16.42578125" customWidth="1"/>
    <col min="40" max="40" width="3.140625" customWidth="1"/>
    <col min="42" max="42" width="18.5703125" customWidth="1"/>
    <col min="45" max="45" width="13" bestFit="1" customWidth="1"/>
    <col min="46" max="46" width="14.140625" bestFit="1" customWidth="1"/>
  </cols>
  <sheetData>
    <row r="1" spans="1:48" s="151" customFormat="1">
      <c r="A1" s="163" t="str">
        <f ca="1">RIGHT(CELL("dateiname",A2),LEN(CELL("dateiname",A2))-FIND("]",CELL("dateiname",A2)))</f>
        <v>CWD 2027_V1</v>
      </c>
      <c r="B1" s="164"/>
      <c r="C1" s="165" t="str">
        <f ca="1">IF(G40=TRUE,"OK","Infeasible")</f>
        <v>OK</v>
      </c>
      <c r="D1" s="164"/>
      <c r="E1" s="152"/>
      <c r="F1" s="161"/>
      <c r="G1" s="162"/>
      <c r="H1" s="162"/>
      <c r="I1" s="162"/>
      <c r="J1" s="152"/>
      <c r="K1" s="152"/>
      <c r="L1" s="153"/>
      <c r="M1" s="152"/>
      <c r="N1" s="152"/>
      <c r="O1" s="153"/>
      <c r="P1" s="152"/>
    </row>
    <row r="2" spans="1:48" ht="19.5" thickBot="1">
      <c r="A2" s="60" t="s">
        <v>131</v>
      </c>
      <c r="B2" s="60"/>
      <c r="C2" s="60"/>
      <c r="D2" s="60"/>
      <c r="E2" s="60"/>
      <c r="F2" s="60"/>
      <c r="G2" s="60"/>
      <c r="H2" s="60"/>
      <c r="I2" s="60"/>
      <c r="J2" s="60"/>
      <c r="K2" s="60" t="s">
        <v>132</v>
      </c>
      <c r="L2" s="60"/>
      <c r="M2" s="60"/>
      <c r="N2" s="60"/>
      <c r="O2" s="60"/>
      <c r="P2" s="60"/>
      <c r="Q2" s="60"/>
      <c r="R2" s="60"/>
      <c r="S2" s="60"/>
      <c r="T2" s="60"/>
      <c r="U2" s="60"/>
      <c r="V2" s="60"/>
      <c r="W2" s="60"/>
      <c r="X2" s="60"/>
      <c r="Y2" s="60"/>
      <c r="Z2" s="60"/>
      <c r="AA2" s="60"/>
      <c r="AB2" s="60"/>
      <c r="AC2" s="60"/>
      <c r="AD2" s="60"/>
      <c r="AE2" s="60"/>
      <c r="AF2" s="60"/>
      <c r="AG2" s="60"/>
      <c r="AH2" s="60"/>
      <c r="AI2" s="60"/>
      <c r="AJ2" s="60"/>
      <c r="AK2" s="60"/>
      <c r="AL2" s="60"/>
      <c r="AM2" s="60"/>
      <c r="AN2" s="60"/>
      <c r="AO2" s="60"/>
      <c r="AP2" s="60"/>
      <c r="AQ2" s="60"/>
      <c r="AR2" s="60"/>
      <c r="AS2" s="60"/>
      <c r="AT2" s="60"/>
      <c r="AU2" s="60"/>
      <c r="AV2" s="60"/>
    </row>
    <row r="3" spans="1:48">
      <c r="A3" s="154"/>
      <c r="K3" s="91" t="s">
        <v>0</v>
      </c>
      <c r="L3" s="92"/>
      <c r="M3" s="93"/>
      <c r="N3" s="94"/>
      <c r="O3" s="94"/>
      <c r="P3" s="95"/>
      <c r="Q3" s="150" t="s">
        <v>89</v>
      </c>
      <c r="R3" s="96">
        <f ca="1">costs_GCA_capa/1000</f>
        <v>104170.34600000001</v>
      </c>
      <c r="S3" s="97"/>
      <c r="T3" s="96"/>
      <c r="U3" s="93"/>
      <c r="V3" s="98"/>
      <c r="Y3" s="41"/>
      <c r="Z3" s="41"/>
      <c r="AA3" s="41"/>
      <c r="AQ3" s="132"/>
      <c r="AR3" s="41"/>
      <c r="AS3" s="41"/>
      <c r="AT3" s="41"/>
    </row>
    <row r="4" spans="1:48">
      <c r="B4" s="492" t="s">
        <v>281</v>
      </c>
      <c r="C4" s="487">
        <f ca="1">VALUE(MID(A1,5,4))</f>
        <v>2027</v>
      </c>
      <c r="E4" s="79"/>
      <c r="F4" s="79"/>
      <c r="G4" s="79"/>
      <c r="H4" s="443"/>
      <c r="I4" s="443"/>
      <c r="K4" s="104"/>
      <c r="L4" s="105"/>
      <c r="M4" s="106"/>
      <c r="N4" s="107" t="s">
        <v>60</v>
      </c>
      <c r="O4" s="107" t="s">
        <v>60</v>
      </c>
      <c r="P4" s="137"/>
      <c r="Q4" s="108" t="s">
        <v>38</v>
      </c>
      <c r="R4" s="134" t="s">
        <v>59</v>
      </c>
      <c r="S4" s="108" t="s">
        <v>38</v>
      </c>
      <c r="T4" s="108" t="s">
        <v>38</v>
      </c>
      <c r="U4" s="109" t="s">
        <v>59</v>
      </c>
      <c r="V4" s="110" t="s">
        <v>59</v>
      </c>
      <c r="W4" s="8"/>
      <c r="X4" s="287" t="s">
        <v>60</v>
      </c>
      <c r="Y4" s="287" t="s">
        <v>60</v>
      </c>
      <c r="Z4" s="287"/>
      <c r="AA4" s="287" t="s">
        <v>59</v>
      </c>
      <c r="AQ4" s="41"/>
      <c r="AS4" s="41"/>
    </row>
    <row r="5" spans="1:48">
      <c r="B5" s="493" t="s">
        <v>90</v>
      </c>
      <c r="C5" s="488">
        <f ca="1">LOOKUP($C$4,Tariff_SimCalculation!$O$9:$Q$9,Tariff_SimCalculation!$O$10:$Q$10)</f>
        <v>104170346</v>
      </c>
      <c r="E5" s="444" t="s">
        <v>302</v>
      </c>
      <c r="F5" s="445"/>
      <c r="G5" s="445"/>
      <c r="H5" s="446"/>
      <c r="I5" s="446"/>
      <c r="K5" s="104"/>
      <c r="L5" s="105"/>
      <c r="M5" s="106"/>
      <c r="N5" s="111" t="s">
        <v>61</v>
      </c>
      <c r="O5" s="111" t="s">
        <v>119</v>
      </c>
      <c r="P5" s="127" t="s">
        <v>87</v>
      </c>
      <c r="Q5" s="111" t="s">
        <v>113</v>
      </c>
      <c r="R5" s="127" t="s">
        <v>116</v>
      </c>
      <c r="S5" s="111" t="s">
        <v>256</v>
      </c>
      <c r="T5" s="111" t="s">
        <v>256</v>
      </c>
      <c r="U5" s="111" t="s">
        <v>256</v>
      </c>
      <c r="V5" s="112" t="s">
        <v>256</v>
      </c>
      <c r="X5" s="286" t="s">
        <v>0</v>
      </c>
      <c r="Y5" s="286" t="s">
        <v>180</v>
      </c>
      <c r="Z5" s="286" t="s">
        <v>182</v>
      </c>
      <c r="AA5" s="286" t="s">
        <v>176</v>
      </c>
      <c r="AQ5" s="41"/>
      <c r="AS5" s="41"/>
    </row>
    <row r="6" spans="1:48">
      <c r="B6" s="493" t="s">
        <v>91</v>
      </c>
      <c r="C6" s="488">
        <f ca="1">LOOKUP($C$4,Tariff_SimCalculation!$O$9:$Q$9,Tariff_SimCalculation!$O$11:$Q$11)</f>
        <v>176990960</v>
      </c>
      <c r="E6" s="445"/>
      <c r="F6" s="445"/>
      <c r="G6" s="445"/>
      <c r="H6" s="446"/>
      <c r="I6" s="446"/>
      <c r="K6" s="129" t="s">
        <v>121</v>
      </c>
      <c r="L6" s="113" t="s">
        <v>28</v>
      </c>
      <c r="M6" s="130" t="s">
        <v>29</v>
      </c>
      <c r="N6" s="113" t="s">
        <v>88</v>
      </c>
      <c r="O6" s="113" t="s">
        <v>327</v>
      </c>
      <c r="P6" s="128" t="s">
        <v>86</v>
      </c>
      <c r="Q6" s="113" t="s">
        <v>62</v>
      </c>
      <c r="R6" s="128" t="s">
        <v>115</v>
      </c>
      <c r="S6" s="113" t="s">
        <v>114</v>
      </c>
      <c r="T6" s="113" t="s">
        <v>118</v>
      </c>
      <c r="U6" s="114" t="s">
        <v>115</v>
      </c>
      <c r="V6" s="115" t="s">
        <v>118</v>
      </c>
      <c r="X6" s="282" t="s">
        <v>178</v>
      </c>
      <c r="Y6" s="282" t="s">
        <v>179</v>
      </c>
      <c r="Z6" s="282" t="s">
        <v>181</v>
      </c>
      <c r="AA6" s="48" t="s">
        <v>177</v>
      </c>
      <c r="AQ6" s="41"/>
      <c r="AR6" s="281"/>
      <c r="AS6" s="41"/>
    </row>
    <row r="7" spans="1:48">
      <c r="B7" s="493" t="s">
        <v>329</v>
      </c>
      <c r="C7" s="488">
        <f ca="1">costs_GCA_capa+costs_TAG_capa</f>
        <v>281161306</v>
      </c>
      <c r="E7" s="445"/>
      <c r="F7" s="445"/>
      <c r="G7" s="445"/>
      <c r="H7" s="446"/>
      <c r="I7" s="446"/>
      <c r="K7" s="81" t="s">
        <v>21</v>
      </c>
      <c r="L7" s="68" t="s">
        <v>31</v>
      </c>
      <c r="M7" s="68" t="s">
        <v>22</v>
      </c>
      <c r="N7" s="133">
        <f ca="1">J53</f>
        <v>2.7736328397447485</v>
      </c>
      <c r="O7" s="76">
        <f t="shared" ref="O7:O28" ca="1" si="0">I53</f>
        <v>2.7736328397447485</v>
      </c>
      <c r="P7" s="138">
        <f t="shared" ref="P7:P24" ca="1" si="1">IFERROR(+N7/O7-1,"")</f>
        <v>0</v>
      </c>
      <c r="Q7" s="72">
        <f t="shared" ref="Q7:Q28" ca="1" si="2">G53</f>
        <v>3366967</v>
      </c>
      <c r="R7" s="135">
        <f ca="1">N7*Q7/1000</f>
        <v>9338.7302415368558</v>
      </c>
      <c r="S7" s="72">
        <f t="shared" ref="S7:S28" ca="1" si="3">H53</f>
        <v>3366967</v>
      </c>
      <c r="T7" s="72">
        <f t="shared" ref="T7:T28" ca="1" si="4">S7-Q7</f>
        <v>0</v>
      </c>
      <c r="U7" s="72">
        <f t="shared" ref="U7:U28" ca="1" si="5">N7*S7/1000</f>
        <v>9338.7302415368558</v>
      </c>
      <c r="V7" s="82">
        <f t="shared" ref="V7:V28" ca="1" si="6">U7-R7</f>
        <v>0</v>
      </c>
      <c r="Y7" s="4">
        <f ca="1">N7*($R$30/$R$29)</f>
        <v>0.94865147962597329</v>
      </c>
      <c r="Z7" s="292">
        <f t="shared" ref="Z7:Z28" ca="1" si="7">N7/$X$29</f>
        <v>1.1828750223994597</v>
      </c>
      <c r="AA7" s="284">
        <f ca="1">-Z7*T7*$Y$29/1000</f>
        <v>0</v>
      </c>
      <c r="AB7" s="17"/>
      <c r="AO7" s="17"/>
      <c r="AQ7" s="41"/>
      <c r="AS7" s="41"/>
    </row>
    <row r="8" spans="1:48">
      <c r="B8" s="493" t="s">
        <v>328</v>
      </c>
      <c r="C8" s="489">
        <f ca="1">LOOKUP($C$4,Tariff_SimCalculation!$O$9:$Q$9,Tariff_SimCalculation!$O$12:$Q$12)</f>
        <v>0.25</v>
      </c>
      <c r="E8" s="445"/>
      <c r="F8" s="445"/>
      <c r="G8" s="445"/>
      <c r="H8" s="446"/>
      <c r="I8" s="446"/>
      <c r="K8" s="81" t="s">
        <v>21</v>
      </c>
      <c r="L8" s="68" t="s">
        <v>31</v>
      </c>
      <c r="M8" s="68" t="s">
        <v>23</v>
      </c>
      <c r="N8" s="133">
        <f t="shared" ref="N8:N28" ca="1" si="8">J54</f>
        <v>2.7736328397447485</v>
      </c>
      <c r="O8" s="76">
        <f t="shared" ca="1" si="0"/>
        <v>2.7736328397447485</v>
      </c>
      <c r="P8" s="138">
        <f t="shared" ca="1" si="1"/>
        <v>0</v>
      </c>
      <c r="Q8" s="72">
        <f t="shared" ca="1" si="2"/>
        <v>7618999</v>
      </c>
      <c r="R8" s="135">
        <f t="shared" ref="R8:R28" ca="1" si="9">N8*Q8/1000</f>
        <v>21132.305832382401</v>
      </c>
      <c r="S8" s="72">
        <f t="shared" ca="1" si="3"/>
        <v>7618999</v>
      </c>
      <c r="T8" s="72">
        <f t="shared" ca="1" si="4"/>
        <v>0</v>
      </c>
      <c r="U8" s="72">
        <f t="shared" ca="1" si="5"/>
        <v>21132.305832382401</v>
      </c>
      <c r="V8" s="82">
        <f t="shared" ca="1" si="6"/>
        <v>0</v>
      </c>
      <c r="Y8" s="4">
        <f t="shared" ref="Y8:Y28" ca="1" si="10">N8*($R$30/$R$29)</f>
        <v>0.94865147962597329</v>
      </c>
      <c r="Z8" s="292">
        <f t="shared" ca="1" si="7"/>
        <v>1.1828750223994597</v>
      </c>
      <c r="AA8" s="284">
        <f t="shared" ref="AA8:AA28" ca="1" si="11">-Z8*T8*$Y$29/1000</f>
        <v>0</v>
      </c>
      <c r="AB8" s="17"/>
      <c r="AD8" s="4"/>
      <c r="AO8" s="17"/>
      <c r="AQ8" s="41"/>
      <c r="AS8" s="41"/>
    </row>
    <row r="9" spans="1:48">
      <c r="B9" s="493"/>
      <c r="C9" s="488"/>
      <c r="E9" s="445"/>
      <c r="F9" s="445"/>
      <c r="G9" s="445"/>
      <c r="H9" s="446"/>
      <c r="I9" s="446"/>
      <c r="K9" s="81" t="s">
        <v>21</v>
      </c>
      <c r="L9" s="68" t="s">
        <v>31</v>
      </c>
      <c r="M9" s="68" t="s">
        <v>24</v>
      </c>
      <c r="N9" s="133">
        <f t="shared" ca="1" si="8"/>
        <v>2.7736328397447485</v>
      </c>
      <c r="O9" s="76">
        <f t="shared" ca="1" si="0"/>
        <v>2.7736328397447485</v>
      </c>
      <c r="P9" s="138">
        <f t="shared" ca="1" si="1"/>
        <v>0</v>
      </c>
      <c r="Q9" s="72">
        <f t="shared" ca="1" si="2"/>
        <v>818029</v>
      </c>
      <c r="R9" s="135">
        <f t="shared" ca="1" si="9"/>
        <v>2268.9120982635573</v>
      </c>
      <c r="S9" s="72">
        <f t="shared" ca="1" si="3"/>
        <v>818029</v>
      </c>
      <c r="T9" s="72">
        <f t="shared" ca="1" si="4"/>
        <v>0</v>
      </c>
      <c r="U9" s="72">
        <f t="shared" ca="1" si="5"/>
        <v>2268.9120982635573</v>
      </c>
      <c r="V9" s="82">
        <f t="shared" ca="1" si="6"/>
        <v>0</v>
      </c>
      <c r="Y9" s="4">
        <f t="shared" ca="1" si="10"/>
        <v>0.94865147962597329</v>
      </c>
      <c r="Z9" s="292">
        <f t="shared" ca="1" si="7"/>
        <v>1.1828750223994597</v>
      </c>
      <c r="AA9" s="284">
        <f t="shared" ca="1" si="11"/>
        <v>0</v>
      </c>
      <c r="AB9" s="17"/>
      <c r="AO9" s="17"/>
      <c r="AQ9" s="41"/>
      <c r="AS9" s="41"/>
    </row>
    <row r="10" spans="1:48">
      <c r="B10" s="494"/>
      <c r="C10" s="490"/>
      <c r="E10" s="445"/>
      <c r="F10" s="445"/>
      <c r="G10" s="445"/>
      <c r="H10" s="446"/>
      <c r="I10" s="446"/>
      <c r="K10" s="81" t="s">
        <v>21</v>
      </c>
      <c r="L10" s="68" t="s">
        <v>31</v>
      </c>
      <c r="M10" s="68" t="s">
        <v>39</v>
      </c>
      <c r="N10" s="133">
        <f t="shared" ca="1" si="8"/>
        <v>2.7736328397447485</v>
      </c>
      <c r="O10" s="76">
        <f t="shared" ca="1" si="0"/>
        <v>2.7736328397447485</v>
      </c>
      <c r="P10" s="138">
        <f t="shared" ca="1" si="1"/>
        <v>0</v>
      </c>
      <c r="Q10" s="72">
        <f t="shared" ca="1" si="2"/>
        <v>0</v>
      </c>
      <c r="R10" s="135">
        <f t="shared" ca="1" si="9"/>
        <v>0</v>
      </c>
      <c r="S10" s="72">
        <f t="shared" ca="1" si="3"/>
        <v>0</v>
      </c>
      <c r="T10" s="72">
        <f t="shared" ca="1" si="4"/>
        <v>0</v>
      </c>
      <c r="U10" s="72">
        <f t="shared" ca="1" si="5"/>
        <v>0</v>
      </c>
      <c r="V10" s="82">
        <f t="shared" ca="1" si="6"/>
        <v>0</v>
      </c>
      <c r="Y10" s="4">
        <f t="shared" ca="1" si="10"/>
        <v>0.94865147962597329</v>
      </c>
      <c r="Z10" s="292">
        <f t="shared" ca="1" si="7"/>
        <v>1.1828750223994597</v>
      </c>
      <c r="AA10" s="284">
        <f t="shared" ca="1" si="11"/>
        <v>0</v>
      </c>
      <c r="AB10" s="17"/>
      <c r="AO10" s="17"/>
      <c r="AQ10" s="41"/>
      <c r="AS10" s="41"/>
    </row>
    <row r="11" spans="1:48">
      <c r="B11" s="494"/>
      <c r="C11" s="491"/>
      <c r="E11" s="445"/>
      <c r="F11" s="445"/>
      <c r="G11" s="445"/>
      <c r="H11" s="446"/>
      <c r="I11" s="446"/>
      <c r="K11" s="81" t="s">
        <v>21</v>
      </c>
      <c r="L11" s="68" t="s">
        <v>31</v>
      </c>
      <c r="M11" s="68" t="s">
        <v>34</v>
      </c>
      <c r="N11" s="133">
        <f t="shared" ca="1" si="8"/>
        <v>2.7736328397447485</v>
      </c>
      <c r="O11" s="76">
        <f t="shared" ca="1" si="0"/>
        <v>2.7736328397447485</v>
      </c>
      <c r="P11" s="138">
        <f t="shared" ca="1" si="1"/>
        <v>0</v>
      </c>
      <c r="Q11" s="72">
        <f t="shared" ca="1" si="2"/>
        <v>0</v>
      </c>
      <c r="R11" s="135">
        <f t="shared" ca="1" si="9"/>
        <v>0</v>
      </c>
      <c r="S11" s="72">
        <f t="shared" ca="1" si="3"/>
        <v>0</v>
      </c>
      <c r="T11" s="72">
        <f t="shared" ca="1" si="4"/>
        <v>0</v>
      </c>
      <c r="U11" s="72">
        <f t="shared" ca="1" si="5"/>
        <v>0</v>
      </c>
      <c r="V11" s="82">
        <f t="shared" ca="1" si="6"/>
        <v>0</v>
      </c>
      <c r="Y11" s="4">
        <f t="shared" ca="1" si="10"/>
        <v>0.94865147962597329</v>
      </c>
      <c r="Z11" s="292">
        <f t="shared" ca="1" si="7"/>
        <v>1.1828750223994597</v>
      </c>
      <c r="AA11" s="284">
        <f t="shared" ca="1" si="11"/>
        <v>0</v>
      </c>
      <c r="AB11" s="17"/>
      <c r="AO11" s="276"/>
      <c r="AQ11" s="280"/>
      <c r="AS11" s="41"/>
    </row>
    <row r="12" spans="1:48">
      <c r="B12" s="493" t="s">
        <v>17</v>
      </c>
      <c r="C12" s="489">
        <f>10%</f>
        <v>0.1</v>
      </c>
      <c r="E12" s="445"/>
      <c r="F12" s="445"/>
      <c r="G12" s="445"/>
      <c r="H12" s="446"/>
      <c r="I12" s="446"/>
      <c r="K12" s="81" t="s">
        <v>21</v>
      </c>
      <c r="L12" s="68" t="s">
        <v>31</v>
      </c>
      <c r="M12" s="68" t="s">
        <v>33</v>
      </c>
      <c r="N12" s="133">
        <f t="shared" ca="1" si="8"/>
        <v>2.7736328397447485</v>
      </c>
      <c r="O12" s="76">
        <f t="shared" ca="1" si="0"/>
        <v>2.7736328397447485</v>
      </c>
      <c r="P12" s="138">
        <f t="shared" ca="1" si="1"/>
        <v>0</v>
      </c>
      <c r="Q12" s="72">
        <f t="shared" ca="1" si="2"/>
        <v>0</v>
      </c>
      <c r="R12" s="135">
        <f t="shared" ca="1" si="9"/>
        <v>0</v>
      </c>
      <c r="S12" s="72">
        <f t="shared" ca="1" si="3"/>
        <v>0</v>
      </c>
      <c r="T12" s="72">
        <f t="shared" ca="1" si="4"/>
        <v>0</v>
      </c>
      <c r="U12" s="72">
        <f t="shared" ca="1" si="5"/>
        <v>0</v>
      </c>
      <c r="V12" s="82">
        <f t="shared" ca="1" si="6"/>
        <v>0</v>
      </c>
      <c r="Y12" s="4">
        <f t="shared" ca="1" si="10"/>
        <v>0.94865147962597329</v>
      </c>
      <c r="Z12" s="292">
        <f t="shared" ca="1" si="7"/>
        <v>1.1828750223994597</v>
      </c>
      <c r="AA12" s="284">
        <f t="shared" ca="1" si="11"/>
        <v>0</v>
      </c>
      <c r="AB12" s="17"/>
      <c r="AD12" s="477" t="s">
        <v>322</v>
      </c>
      <c r="AE12" s="148"/>
      <c r="AF12" s="148"/>
      <c r="AG12" s="148"/>
      <c r="AH12" s="148"/>
      <c r="AO12" s="276"/>
      <c r="AQ12" s="280"/>
      <c r="AS12" s="41"/>
    </row>
    <row r="13" spans="1:48">
      <c r="B13" s="493" t="s">
        <v>282</v>
      </c>
      <c r="C13" s="489">
        <v>1</v>
      </c>
      <c r="D13" s="145"/>
      <c r="E13" s="445"/>
      <c r="F13" s="445"/>
      <c r="G13" s="445"/>
      <c r="H13" s="446"/>
      <c r="I13" s="446"/>
      <c r="K13" s="81" t="s">
        <v>21</v>
      </c>
      <c r="L13" s="68" t="s">
        <v>31</v>
      </c>
      <c r="M13" s="68" t="s">
        <v>35</v>
      </c>
      <c r="N13" s="133">
        <f t="shared" ca="1" si="8"/>
        <v>0</v>
      </c>
      <c r="O13" s="76">
        <f t="shared" ca="1" si="0"/>
        <v>0</v>
      </c>
      <c r="P13" s="138" t="str">
        <f t="shared" ca="1" si="1"/>
        <v/>
      </c>
      <c r="Q13" s="72">
        <f t="shared" ca="1" si="2"/>
        <v>4028400.0000000009</v>
      </c>
      <c r="R13" s="135">
        <f t="shared" ca="1" si="9"/>
        <v>0</v>
      </c>
      <c r="S13" s="72">
        <f t="shared" ca="1" si="3"/>
        <v>4028400.0000000009</v>
      </c>
      <c r="T13" s="72">
        <f t="shared" ca="1" si="4"/>
        <v>0</v>
      </c>
      <c r="U13" s="72">
        <f t="shared" ca="1" si="5"/>
        <v>0</v>
      </c>
      <c r="V13" s="82">
        <f t="shared" ca="1" si="6"/>
        <v>0</v>
      </c>
      <c r="Y13" s="4">
        <f t="shared" ca="1" si="10"/>
        <v>0</v>
      </c>
      <c r="Z13" s="292">
        <f t="shared" ca="1" si="7"/>
        <v>0</v>
      </c>
      <c r="AA13" s="284">
        <f t="shared" ca="1" si="11"/>
        <v>0</v>
      </c>
      <c r="AB13" s="17"/>
      <c r="AD13" s="148"/>
      <c r="AE13" s="148"/>
      <c r="AF13" s="148"/>
      <c r="AG13" s="148"/>
      <c r="AH13" s="148"/>
      <c r="AO13" s="276"/>
      <c r="AQ13" s="280"/>
      <c r="AS13" s="41"/>
    </row>
    <row r="14" spans="1:48">
      <c r="B14" s="495" t="s">
        <v>224</v>
      </c>
      <c r="C14" s="489">
        <f ca="1">LOOKUP($C$4,Tariff_SimCalculation!$O$9:$Q$9,Tariff_SimCalculation!$O$14:$Q$14)</f>
        <v>0.5</v>
      </c>
      <c r="E14" s="445"/>
      <c r="F14" s="445"/>
      <c r="G14" s="445"/>
      <c r="H14" s="446"/>
      <c r="I14" s="446"/>
      <c r="K14" s="83" t="s">
        <v>30</v>
      </c>
      <c r="L14" s="68" t="s">
        <v>31</v>
      </c>
      <c r="M14" s="68" t="s">
        <v>22</v>
      </c>
      <c r="N14" s="133">
        <f t="shared" ca="1" si="8"/>
        <v>3.7360454146105768</v>
      </c>
      <c r="O14" s="76">
        <f t="shared" ca="1" si="0"/>
        <v>3.7360454146105768</v>
      </c>
      <c r="P14" s="138">
        <f t="shared" ca="1" si="1"/>
        <v>0</v>
      </c>
      <c r="Q14" s="72">
        <f t="shared" ca="1" si="2"/>
        <v>1975276</v>
      </c>
      <c r="R14" s="135">
        <f t="shared" ca="1" si="9"/>
        <v>7379.7208423903221</v>
      </c>
      <c r="S14" s="72">
        <f t="shared" ca="1" si="3"/>
        <v>1975276</v>
      </c>
      <c r="T14" s="72">
        <f t="shared" ca="1" si="4"/>
        <v>0</v>
      </c>
      <c r="U14" s="72">
        <f t="shared" ca="1" si="5"/>
        <v>7379.7208423903221</v>
      </c>
      <c r="V14" s="82">
        <f t="shared" ca="1" si="6"/>
        <v>0</v>
      </c>
      <c r="Y14" s="4">
        <f t="shared" ca="1" si="10"/>
        <v>1.2778205390899258</v>
      </c>
      <c r="Z14" s="292">
        <f t="shared" ca="1" si="7"/>
        <v>1.5933164405060842</v>
      </c>
      <c r="AA14" s="284">
        <f t="shared" ca="1" si="11"/>
        <v>0</v>
      </c>
      <c r="AB14" s="17"/>
      <c r="AD14" s="148"/>
      <c r="AE14" s="148" t="s">
        <v>287</v>
      </c>
      <c r="AF14" s="462">
        <f ca="1">costs_GCA_capa/1000000</f>
        <v>104.170346</v>
      </c>
      <c r="AG14" s="462"/>
      <c r="AH14" s="462"/>
      <c r="AQ14" s="280"/>
      <c r="AS14" s="41"/>
    </row>
    <row r="15" spans="1:48">
      <c r="B15" s="448"/>
      <c r="C15" s="447"/>
      <c r="E15" s="445"/>
      <c r="F15" s="445"/>
      <c r="G15" s="445"/>
      <c r="H15" s="446"/>
      <c r="I15" s="446"/>
      <c r="K15" s="83" t="s">
        <v>30</v>
      </c>
      <c r="L15" s="68" t="s">
        <v>31</v>
      </c>
      <c r="M15" s="68" t="s">
        <v>23</v>
      </c>
      <c r="N15" s="133">
        <f t="shared" ca="1" si="8"/>
        <v>7.5586618182948762</v>
      </c>
      <c r="O15" s="76">
        <f t="shared" ca="1" si="0"/>
        <v>7.5586618182948762</v>
      </c>
      <c r="P15" s="138">
        <f t="shared" ca="1" si="1"/>
        <v>0</v>
      </c>
      <c r="Q15" s="72">
        <f t="shared" ca="1" si="2"/>
        <v>3366967</v>
      </c>
      <c r="R15" s="135">
        <f t="shared" ca="1" si="9"/>
        <v>25449.764906358847</v>
      </c>
      <c r="S15" s="72">
        <f t="shared" ca="1" si="3"/>
        <v>3366967</v>
      </c>
      <c r="T15" s="72">
        <f t="shared" ca="1" si="4"/>
        <v>0</v>
      </c>
      <c r="U15" s="72">
        <f t="shared" ca="1" si="5"/>
        <v>25449.764906358847</v>
      </c>
      <c r="V15" s="82">
        <f t="shared" ca="1" si="6"/>
        <v>0</v>
      </c>
      <c r="Y15" s="4">
        <f t="shared" ca="1" si="10"/>
        <v>2.5852505115917479</v>
      </c>
      <c r="Z15" s="292">
        <f t="shared" ca="1" si="7"/>
        <v>3.2235529301161252</v>
      </c>
      <c r="AA15" s="284">
        <f t="shared" ca="1" si="11"/>
        <v>0</v>
      </c>
      <c r="AB15" s="17"/>
      <c r="AD15" s="148"/>
      <c r="AE15" s="148" t="s">
        <v>288</v>
      </c>
      <c r="AF15" s="462">
        <f ca="1">costs_TAG_capa/1000000</f>
        <v>176.99096</v>
      </c>
      <c r="AG15" s="462"/>
      <c r="AH15" s="462">
        <f ca="1">U43/1000</f>
        <v>122.8417204375652</v>
      </c>
      <c r="AQ15" s="280"/>
      <c r="AS15" s="41"/>
    </row>
    <row r="16" spans="1:48">
      <c r="B16" s="448"/>
      <c r="C16" s="447"/>
      <c r="E16" s="445"/>
      <c r="F16" s="445"/>
      <c r="G16" s="445"/>
      <c r="H16" s="446"/>
      <c r="I16" s="446"/>
      <c r="K16" s="83" t="s">
        <v>30</v>
      </c>
      <c r="L16" s="68" t="s">
        <v>31</v>
      </c>
      <c r="M16" s="68" t="s">
        <v>24</v>
      </c>
      <c r="N16" s="133">
        <f t="shared" ca="1" si="8"/>
        <v>7.5586618182948762</v>
      </c>
      <c r="O16" s="76">
        <f t="shared" ca="1" si="0"/>
        <v>7.5586618182948762</v>
      </c>
      <c r="P16" s="138">
        <f t="shared" ca="1" si="1"/>
        <v>0</v>
      </c>
      <c r="Q16" s="72">
        <f t="shared" ca="1" si="2"/>
        <v>0</v>
      </c>
      <c r="R16" s="135">
        <f t="shared" ca="1" si="9"/>
        <v>0</v>
      </c>
      <c r="S16" s="72">
        <f t="shared" ca="1" si="3"/>
        <v>0</v>
      </c>
      <c r="T16" s="72">
        <f t="shared" ca="1" si="4"/>
        <v>0</v>
      </c>
      <c r="U16" s="72">
        <f t="shared" ca="1" si="5"/>
        <v>0</v>
      </c>
      <c r="V16" s="82">
        <f t="shared" ca="1" si="6"/>
        <v>0</v>
      </c>
      <c r="Y16" s="4">
        <f t="shared" ca="1" si="10"/>
        <v>2.5852505115917479</v>
      </c>
      <c r="Z16" s="292">
        <f t="shared" ca="1" si="7"/>
        <v>3.2235529301161252</v>
      </c>
      <c r="AA16" s="284">
        <f t="shared" ca="1" si="11"/>
        <v>0</v>
      </c>
      <c r="AB16" s="17"/>
      <c r="AD16" s="148"/>
      <c r="AE16" s="148"/>
      <c r="AF16" s="462"/>
      <c r="AG16" s="462"/>
      <c r="AH16" s="462">
        <f ca="1">AA44/1000</f>
        <v>176.99096</v>
      </c>
      <c r="AQ16" s="280"/>
      <c r="AS16" s="41"/>
    </row>
    <row r="17" spans="2:46">
      <c r="B17" s="439"/>
      <c r="C17" s="284"/>
      <c r="E17" s="445"/>
      <c r="F17" s="445"/>
      <c r="G17" s="445"/>
      <c r="H17" s="446"/>
      <c r="I17" s="446"/>
      <c r="K17" s="83" t="s">
        <v>30</v>
      </c>
      <c r="L17" s="68" t="s">
        <v>31</v>
      </c>
      <c r="M17" s="68" t="s">
        <v>39</v>
      </c>
      <c r="N17" s="133">
        <f t="shared" ca="1" si="8"/>
        <v>3.9674104358946902</v>
      </c>
      <c r="O17" s="76">
        <f t="shared" ca="1" si="0"/>
        <v>3.9674104358946902</v>
      </c>
      <c r="P17" s="138">
        <f ca="1">IFERROR(+N17/O17-1,"")</f>
        <v>0</v>
      </c>
      <c r="Q17" s="72">
        <f t="shared" ca="1" si="2"/>
        <v>3189496</v>
      </c>
      <c r="R17" s="135">
        <f t="shared" ca="1" si="9"/>
        <v>12654.039715644371</v>
      </c>
      <c r="S17" s="72">
        <f t="shared" ca="1" si="3"/>
        <v>3189496</v>
      </c>
      <c r="T17" s="72">
        <f t="shared" ca="1" si="4"/>
        <v>0</v>
      </c>
      <c r="U17" s="72">
        <f t="shared" ca="1" si="5"/>
        <v>12654.039715644371</v>
      </c>
      <c r="V17" s="82">
        <f t="shared" ca="1" si="6"/>
        <v>0</v>
      </c>
      <c r="Y17" s="4">
        <f t="shared" ca="1" si="10"/>
        <v>1.3569531361048457</v>
      </c>
      <c r="Z17" s="292">
        <f t="shared" ca="1" si="7"/>
        <v>1.6919870002183361</v>
      </c>
      <c r="AA17" s="284">
        <f t="shared" ca="1" si="11"/>
        <v>0</v>
      </c>
      <c r="AB17" s="17"/>
      <c r="AD17" s="148"/>
      <c r="AE17" s="148"/>
      <c r="AF17" s="462">
        <f ca="1">R30/1000</f>
        <v>54.149239562434772</v>
      </c>
      <c r="AG17" s="462"/>
      <c r="AH17" s="462">
        <f ca="1">V45/1000</f>
        <v>0</v>
      </c>
      <c r="AO17" s="276"/>
      <c r="AQ17" s="280"/>
      <c r="AS17" s="41"/>
    </row>
    <row r="18" spans="2:46">
      <c r="B18" s="265" t="s">
        <v>169</v>
      </c>
      <c r="E18" s="445"/>
      <c r="F18" s="445"/>
      <c r="G18" s="445"/>
      <c r="H18" s="446"/>
      <c r="I18" s="446"/>
      <c r="K18" s="83" t="s">
        <v>30</v>
      </c>
      <c r="L18" s="68" t="s">
        <v>31</v>
      </c>
      <c r="M18" s="68" t="s">
        <v>34</v>
      </c>
      <c r="N18" s="133">
        <f t="shared" ca="1" si="8"/>
        <v>0</v>
      </c>
      <c r="O18" s="76">
        <f t="shared" ca="1" si="0"/>
        <v>0</v>
      </c>
      <c r="P18" s="138" t="str">
        <f t="shared" ca="1" si="1"/>
        <v/>
      </c>
      <c r="Q18" s="72">
        <f t="shared" ca="1" si="2"/>
        <v>0</v>
      </c>
      <c r="R18" s="135">
        <f t="shared" ca="1" si="9"/>
        <v>0</v>
      </c>
      <c r="S18" s="72">
        <f t="shared" ca="1" si="3"/>
        <v>0</v>
      </c>
      <c r="T18" s="72">
        <f t="shared" ca="1" si="4"/>
        <v>0</v>
      </c>
      <c r="U18" s="72">
        <f t="shared" ca="1" si="5"/>
        <v>0</v>
      </c>
      <c r="V18" s="82">
        <f t="shared" ca="1" si="6"/>
        <v>0</v>
      </c>
      <c r="Y18" s="4">
        <f t="shared" ca="1" si="10"/>
        <v>0</v>
      </c>
      <c r="Z18" s="292">
        <f t="shared" ca="1" si="7"/>
        <v>0</v>
      </c>
      <c r="AA18" s="284">
        <f t="shared" ca="1" si="11"/>
        <v>0</v>
      </c>
      <c r="AB18" s="17"/>
      <c r="AD18" s="148"/>
      <c r="AE18" s="148"/>
      <c r="AF18" s="462">
        <f ca="1">R30/1000-(ABS(AA29)+ABS(AA43))/2/1000</f>
        <v>54.149239562434772</v>
      </c>
      <c r="AG18" s="462"/>
      <c r="AH18" s="462"/>
      <c r="AO18" s="276"/>
      <c r="AQ18" s="280"/>
      <c r="AS18" s="41"/>
    </row>
    <row r="19" spans="2:46">
      <c r="B19" s="262" t="s">
        <v>167</v>
      </c>
      <c r="C19" s="263">
        <f ca="1">(R29+R43)*1000-C7</f>
        <v>0</v>
      </c>
      <c r="E19" s="445"/>
      <c r="F19" s="445"/>
      <c r="G19" s="445"/>
      <c r="H19" s="446"/>
      <c r="I19" s="446"/>
      <c r="K19" s="83" t="s">
        <v>30</v>
      </c>
      <c r="L19" s="68" t="s">
        <v>31</v>
      </c>
      <c r="M19" s="68" t="s">
        <v>33</v>
      </c>
      <c r="N19" s="133">
        <f t="shared" ca="1" si="8"/>
        <v>6.5473368606946538</v>
      </c>
      <c r="O19" s="76">
        <f t="shared" ca="1" si="0"/>
        <v>6.5473368606946538</v>
      </c>
      <c r="P19" s="138">
        <f t="shared" ca="1" si="1"/>
        <v>0</v>
      </c>
      <c r="Q19" s="72">
        <f t="shared" ca="1" si="2"/>
        <v>872840</v>
      </c>
      <c r="R19" s="135">
        <f t="shared" ca="1" si="9"/>
        <v>5714.7775054887215</v>
      </c>
      <c r="S19" s="72">
        <f t="shared" ca="1" si="3"/>
        <v>872840</v>
      </c>
      <c r="T19" s="72">
        <f t="shared" ca="1" si="4"/>
        <v>0</v>
      </c>
      <c r="U19" s="72">
        <f t="shared" ca="1" si="5"/>
        <v>5714.7775054887215</v>
      </c>
      <c r="V19" s="82">
        <f t="shared" ca="1" si="6"/>
        <v>0</v>
      </c>
      <c r="Y19" s="4">
        <f t="shared" ca="1" si="10"/>
        <v>2.2393521995792551</v>
      </c>
      <c r="Z19" s="292">
        <f t="shared" ca="1" si="7"/>
        <v>2.7922517806876428</v>
      </c>
      <c r="AA19" s="284">
        <f t="shared" ca="1" si="11"/>
        <v>0</v>
      </c>
      <c r="AB19" s="17"/>
      <c r="AD19" s="148"/>
      <c r="AE19" s="148"/>
      <c r="AF19" s="462">
        <f ca="1">-AA29/1000</f>
        <v>0</v>
      </c>
      <c r="AG19" s="462"/>
      <c r="AH19" s="462"/>
      <c r="AO19" s="276"/>
      <c r="AQ19" s="280"/>
      <c r="AS19" s="41"/>
    </row>
    <row r="20" spans="2:46">
      <c r="B20" s="258" t="s">
        <v>84</v>
      </c>
      <c r="C20" s="260">
        <f ca="1">-R31*1000</f>
        <v>54149239.56243477</v>
      </c>
      <c r="D20" s="440"/>
      <c r="E20" s="445"/>
      <c r="F20" s="445"/>
      <c r="G20" s="445"/>
      <c r="H20" s="446"/>
      <c r="I20" s="446"/>
      <c r="K20" s="83" t="s">
        <v>30</v>
      </c>
      <c r="L20" s="68" t="s">
        <v>31</v>
      </c>
      <c r="M20" s="68" t="s">
        <v>35</v>
      </c>
      <c r="N20" s="133">
        <f t="shared" ca="1" si="8"/>
        <v>2.0916000000000001</v>
      </c>
      <c r="O20" s="76">
        <f t="shared" ca="1" si="0"/>
        <v>2.0916000000000001</v>
      </c>
      <c r="P20" s="138">
        <f t="shared" ca="1" si="1"/>
        <v>0</v>
      </c>
      <c r="Q20" s="72">
        <f t="shared" ca="1" si="2"/>
        <v>21422795</v>
      </c>
      <c r="R20" s="135">
        <f t="shared" ca="1" si="9"/>
        <v>44807.918021999998</v>
      </c>
      <c r="S20" s="72">
        <f t="shared" ca="1" si="3"/>
        <v>21422795</v>
      </c>
      <c r="T20" s="72">
        <f t="shared" ca="1" si="4"/>
        <v>0</v>
      </c>
      <c r="U20" s="72">
        <f t="shared" ca="1" si="5"/>
        <v>44807.918021999998</v>
      </c>
      <c r="V20" s="82">
        <f t="shared" ca="1" si="6"/>
        <v>0</v>
      </c>
      <c r="Y20" s="4">
        <f t="shared" ca="1" si="10"/>
        <v>0.71537926951005071</v>
      </c>
      <c r="Z20" s="292">
        <f t="shared" ca="1" si="7"/>
        <v>0.89200753661338839</v>
      </c>
      <c r="AA20" s="284">
        <f t="shared" ca="1" si="11"/>
        <v>0</v>
      </c>
      <c r="AB20" s="17"/>
      <c r="AD20" s="148"/>
      <c r="AE20" s="148"/>
      <c r="AF20" s="462"/>
      <c r="AG20" s="462"/>
      <c r="AH20" s="462"/>
      <c r="AO20" s="276"/>
      <c r="AQ20" s="280"/>
      <c r="AS20" s="41"/>
    </row>
    <row r="21" spans="2:46">
      <c r="B21" s="258" t="s">
        <v>168</v>
      </c>
      <c r="C21" s="449">
        <f ca="1">$T$94</f>
        <v>0.26385720986315891</v>
      </c>
      <c r="E21" s="445"/>
      <c r="F21" s="445"/>
      <c r="G21" s="445"/>
      <c r="H21" s="446"/>
      <c r="I21" s="446"/>
      <c r="K21" s="81" t="s">
        <v>21</v>
      </c>
      <c r="L21" s="73" t="s">
        <v>32</v>
      </c>
      <c r="M21" s="68" t="s">
        <v>24</v>
      </c>
      <c r="N21" s="133">
        <f t="shared" ca="1" si="8"/>
        <v>2.4962695557702737</v>
      </c>
      <c r="O21" s="76">
        <f t="shared" ca="1" si="0"/>
        <v>2.4962695557702737</v>
      </c>
      <c r="P21" s="138">
        <f t="shared" ca="1" si="1"/>
        <v>0</v>
      </c>
      <c r="Q21" s="72">
        <f t="shared" ca="1" si="2"/>
        <v>0</v>
      </c>
      <c r="R21" s="135">
        <f t="shared" ca="1" si="9"/>
        <v>0</v>
      </c>
      <c r="S21" s="72">
        <f t="shared" ca="1" si="3"/>
        <v>0</v>
      </c>
      <c r="T21" s="72">
        <f t="shared" ca="1" si="4"/>
        <v>0</v>
      </c>
      <c r="U21" s="72">
        <f t="shared" ca="1" si="5"/>
        <v>0</v>
      </c>
      <c r="V21" s="82">
        <f t="shared" ca="1" si="6"/>
        <v>0</v>
      </c>
      <c r="Y21" s="4">
        <f t="shared" ca="1" si="10"/>
        <v>0.85378633166337592</v>
      </c>
      <c r="Z21" s="292">
        <f t="shared" ca="1" si="7"/>
        <v>1.0645875201595139</v>
      </c>
      <c r="AA21" s="284">
        <f t="shared" ca="1" si="11"/>
        <v>0</v>
      </c>
      <c r="AB21" s="17"/>
      <c r="AD21" s="148"/>
      <c r="AE21" s="148"/>
      <c r="AF21" s="462">
        <f ca="1">R29/1000</f>
        <v>158.31958556243478</v>
      </c>
      <c r="AG21" s="462"/>
      <c r="AH21" s="462"/>
      <c r="AO21" s="276"/>
      <c r="AQ21" s="280"/>
      <c r="AS21" s="41"/>
    </row>
    <row r="22" spans="2:46">
      <c r="B22" s="258" t="s">
        <v>75</v>
      </c>
      <c r="C22" s="449">
        <f ca="1">K174</f>
        <v>7.954890977054695E-3</v>
      </c>
      <c r="K22" s="83" t="s">
        <v>30</v>
      </c>
      <c r="L22" s="73" t="s">
        <v>32</v>
      </c>
      <c r="M22" s="68" t="s">
        <v>24</v>
      </c>
      <c r="N22" s="133">
        <f t="shared" ca="1" si="8"/>
        <v>6.8027956364653885</v>
      </c>
      <c r="O22" s="76">
        <f t="shared" ca="1" si="0"/>
        <v>6.8027956364653885</v>
      </c>
      <c r="P22" s="138">
        <f t="shared" ca="1" si="1"/>
        <v>0</v>
      </c>
      <c r="Q22" s="72">
        <f t="shared" ca="1" si="2"/>
        <v>585865</v>
      </c>
      <c r="R22" s="135">
        <f t="shared" ca="1" si="9"/>
        <v>3985.5198655577951</v>
      </c>
      <c r="S22" s="72">
        <f t="shared" ca="1" si="3"/>
        <v>585865</v>
      </c>
      <c r="T22" s="72">
        <f t="shared" ca="1" si="4"/>
        <v>0</v>
      </c>
      <c r="U22" s="72">
        <f t="shared" ca="1" si="5"/>
        <v>3985.5198655577951</v>
      </c>
      <c r="V22" s="82">
        <f t="shared" ca="1" si="6"/>
        <v>0</v>
      </c>
      <c r="Y22" s="4">
        <f t="shared" ca="1" si="10"/>
        <v>2.3267254604325731</v>
      </c>
      <c r="Z22" s="292">
        <f t="shared" ca="1" si="7"/>
        <v>2.9011976371045125</v>
      </c>
      <c r="AA22" s="284">
        <f t="shared" ca="1" si="11"/>
        <v>0</v>
      </c>
      <c r="AB22" s="17"/>
      <c r="AD22" s="148"/>
      <c r="AE22" s="148"/>
      <c r="AF22" s="462">
        <f ca="1">R43/1000</f>
        <v>122.8417204375652</v>
      </c>
      <c r="AG22" s="462"/>
      <c r="AH22" s="462"/>
      <c r="AO22" s="276"/>
      <c r="AQ22" s="280"/>
      <c r="AS22" s="41"/>
    </row>
    <row r="23" spans="2:46">
      <c r="B23" s="261" t="s">
        <v>69</v>
      </c>
      <c r="C23" s="450">
        <f ca="1">K172</f>
        <v>13.948163770385332</v>
      </c>
      <c r="E23" s="444" t="s">
        <v>303</v>
      </c>
      <c r="F23" s="445"/>
      <c r="G23" s="445"/>
      <c r="H23" s="446"/>
      <c r="I23" s="446"/>
      <c r="K23" s="83" t="s">
        <v>30</v>
      </c>
      <c r="L23" s="73" t="s">
        <v>32</v>
      </c>
      <c r="M23" s="68" t="s">
        <v>35</v>
      </c>
      <c r="N23" s="133">
        <f t="shared" ca="1" si="8"/>
        <v>1.8824400000000001</v>
      </c>
      <c r="O23" s="76">
        <f t="shared" ca="1" si="0"/>
        <v>1.8824400000000001</v>
      </c>
      <c r="P23" s="138">
        <f t="shared" ca="1" si="1"/>
        <v>0</v>
      </c>
      <c r="Q23" s="72">
        <f t="shared" ca="1" si="2"/>
        <v>4635629</v>
      </c>
      <c r="R23" s="135">
        <f t="shared" ca="1" si="9"/>
        <v>8726.2934547599998</v>
      </c>
      <c r="S23" s="72">
        <f t="shared" ca="1" si="3"/>
        <v>4635629</v>
      </c>
      <c r="T23" s="72">
        <f t="shared" ca="1" si="4"/>
        <v>0</v>
      </c>
      <c r="U23" s="72">
        <f t="shared" ca="1" si="5"/>
        <v>8726.2934547599998</v>
      </c>
      <c r="V23" s="82">
        <f t="shared" ca="1" si="6"/>
        <v>0</v>
      </c>
      <c r="Y23" s="4">
        <f t="shared" ca="1" si="10"/>
        <v>0.64384134255904568</v>
      </c>
      <c r="Z23" s="292">
        <f t="shared" ca="1" si="7"/>
        <v>0.80280678295204955</v>
      </c>
      <c r="AA23" s="284">
        <f t="shared" ca="1" si="11"/>
        <v>0</v>
      </c>
      <c r="AB23" s="17"/>
      <c r="AD23" s="148"/>
      <c r="AE23" s="148"/>
      <c r="AF23" s="462"/>
      <c r="AG23" s="462"/>
      <c r="AH23" s="462"/>
      <c r="AO23" s="276"/>
      <c r="AQ23" s="280"/>
      <c r="AS23" s="41"/>
    </row>
    <row r="24" spans="2:46">
      <c r="B24" s="261" t="s">
        <v>71</v>
      </c>
      <c r="C24" s="450">
        <f ca="1">K173</f>
        <v>14.05956297677975</v>
      </c>
      <c r="E24" s="445"/>
      <c r="F24" s="445"/>
      <c r="G24" s="445"/>
      <c r="H24" s="446"/>
      <c r="I24" s="446"/>
      <c r="K24" s="83" t="s">
        <v>30</v>
      </c>
      <c r="L24" s="73" t="s">
        <v>32</v>
      </c>
      <c r="M24" s="68" t="s">
        <v>35</v>
      </c>
      <c r="N24" s="133">
        <f t="shared" ca="1" si="8"/>
        <v>1.8824400000000001</v>
      </c>
      <c r="O24" s="76">
        <f t="shared" ca="1" si="0"/>
        <v>1.8824400000000001</v>
      </c>
      <c r="P24" s="138">
        <f t="shared" ca="1" si="1"/>
        <v>0</v>
      </c>
      <c r="Q24" s="72">
        <f t="shared" ca="1" si="2"/>
        <v>2378663</v>
      </c>
      <c r="R24" s="135">
        <f t="shared" ca="1" si="9"/>
        <v>4477.6903777200005</v>
      </c>
      <c r="S24" s="72">
        <f t="shared" ca="1" si="3"/>
        <v>2378663</v>
      </c>
      <c r="T24" s="72">
        <f t="shared" ca="1" si="4"/>
        <v>0</v>
      </c>
      <c r="U24" s="72">
        <f t="shared" ca="1" si="5"/>
        <v>4477.6903777200005</v>
      </c>
      <c r="V24" s="82">
        <f t="shared" ca="1" si="6"/>
        <v>0</v>
      </c>
      <c r="Y24" s="4">
        <f t="shared" ca="1" si="10"/>
        <v>0.64384134255904568</v>
      </c>
      <c r="Z24" s="292">
        <f t="shared" ca="1" si="7"/>
        <v>0.80280678295204955</v>
      </c>
      <c r="AA24" s="284">
        <f t="shared" ca="1" si="11"/>
        <v>0</v>
      </c>
      <c r="AB24" s="17"/>
      <c r="AD24" s="148"/>
      <c r="AE24" s="148"/>
      <c r="AF24" s="462">
        <f ca="1">U29/1000</f>
        <v>158.31958556243478</v>
      </c>
      <c r="AG24" s="462"/>
      <c r="AH24" s="462"/>
      <c r="AO24" s="276"/>
      <c r="AQ24" s="280"/>
      <c r="AS24" s="41"/>
    </row>
    <row r="25" spans="2:46">
      <c r="B25" s="258" t="s">
        <v>291</v>
      </c>
      <c r="C25" s="259">
        <f ca="1">E261</f>
        <v>0.11526242020824867</v>
      </c>
      <c r="E25" s="445"/>
      <c r="F25" s="445"/>
      <c r="G25" s="445"/>
      <c r="H25" s="446"/>
      <c r="I25" s="446"/>
      <c r="K25" s="81" t="s">
        <v>21</v>
      </c>
      <c r="L25" s="68" t="s">
        <v>31</v>
      </c>
      <c r="M25" s="68" t="s">
        <v>56</v>
      </c>
      <c r="N25" s="133">
        <f t="shared" ca="1" si="8"/>
        <v>0</v>
      </c>
      <c r="O25" s="76">
        <f t="shared" ca="1" si="0"/>
        <v>0</v>
      </c>
      <c r="P25" s="138"/>
      <c r="Q25" s="72">
        <f t="shared" ca="1" si="2"/>
        <v>0</v>
      </c>
      <c r="R25" s="135">
        <f t="shared" ca="1" si="9"/>
        <v>0</v>
      </c>
      <c r="S25" s="72">
        <f t="shared" ca="1" si="3"/>
        <v>0</v>
      </c>
      <c r="T25" s="72">
        <f t="shared" ca="1" si="4"/>
        <v>0</v>
      </c>
      <c r="U25" s="72">
        <f t="shared" ca="1" si="5"/>
        <v>0</v>
      </c>
      <c r="V25" s="82">
        <f t="shared" ca="1" si="6"/>
        <v>0</v>
      </c>
      <c r="Y25" s="4">
        <f t="shared" ca="1" si="10"/>
        <v>0</v>
      </c>
      <c r="Z25" s="292">
        <f t="shared" ca="1" si="7"/>
        <v>0</v>
      </c>
      <c r="AA25" s="284">
        <f t="shared" ca="1" si="11"/>
        <v>0</v>
      </c>
      <c r="AB25" s="17"/>
      <c r="AD25" s="148"/>
      <c r="AE25" s="148"/>
      <c r="AF25" s="462">
        <f ca="1">AA30/1000</f>
        <v>104.17034600000001</v>
      </c>
      <c r="AG25" s="462"/>
      <c r="AH25" s="462"/>
      <c r="AO25" s="276"/>
      <c r="AQ25" s="280"/>
      <c r="AS25" s="41"/>
    </row>
    <row r="26" spans="2:46">
      <c r="B26" s="261" t="s">
        <v>69</v>
      </c>
      <c r="C26" s="450">
        <f ca="1">E259</f>
        <v>97.484778778662147</v>
      </c>
      <c r="E26" s="445"/>
      <c r="F26" s="445"/>
      <c r="G26" s="445"/>
      <c r="H26" s="446"/>
      <c r="I26" s="446"/>
      <c r="K26" s="81" t="s">
        <v>21</v>
      </c>
      <c r="L26" s="68" t="s">
        <v>31</v>
      </c>
      <c r="M26" s="68" t="s">
        <v>25</v>
      </c>
      <c r="N26" s="133">
        <f t="shared" ca="1" si="8"/>
        <v>0</v>
      </c>
      <c r="O26" s="76">
        <f t="shared" ca="1" si="0"/>
        <v>0</v>
      </c>
      <c r="P26" s="138"/>
      <c r="Q26" s="72">
        <f t="shared" ca="1" si="2"/>
        <v>6629423</v>
      </c>
      <c r="R26" s="135">
        <f t="shared" ca="1" si="9"/>
        <v>0</v>
      </c>
      <c r="S26" s="72">
        <f t="shared" ca="1" si="3"/>
        <v>6629423</v>
      </c>
      <c r="T26" s="72">
        <f t="shared" ca="1" si="4"/>
        <v>0</v>
      </c>
      <c r="U26" s="72">
        <f t="shared" ca="1" si="5"/>
        <v>0</v>
      </c>
      <c r="V26" s="82">
        <f t="shared" ca="1" si="6"/>
        <v>0</v>
      </c>
      <c r="Y26" s="4">
        <f t="shared" ca="1" si="10"/>
        <v>0</v>
      </c>
      <c r="Z26" s="292">
        <f t="shared" ca="1" si="7"/>
        <v>0</v>
      </c>
      <c r="AA26" s="284">
        <f t="shared" ca="1" si="11"/>
        <v>0</v>
      </c>
      <c r="AB26" s="17"/>
      <c r="AD26" s="148"/>
      <c r="AE26" s="148"/>
      <c r="AF26" s="462">
        <f ca="1">V31/1000</f>
        <v>0</v>
      </c>
      <c r="AG26" s="462"/>
      <c r="AH26" s="462"/>
      <c r="AO26" s="276"/>
      <c r="AQ26" s="280"/>
      <c r="AR26" s="41"/>
      <c r="AS26" s="41"/>
      <c r="AT26" s="41"/>
    </row>
    <row r="27" spans="2:46">
      <c r="B27" s="261" t="s">
        <v>71</v>
      </c>
      <c r="C27" s="450">
        <f ca="1">E260</f>
        <v>86.860724355771112</v>
      </c>
      <c r="E27" s="445"/>
      <c r="F27" s="445"/>
      <c r="G27" s="445"/>
      <c r="H27" s="446"/>
      <c r="I27" s="446"/>
      <c r="K27" s="83" t="s">
        <v>30</v>
      </c>
      <c r="L27" s="68" t="s">
        <v>31</v>
      </c>
      <c r="M27" s="68" t="s">
        <v>56</v>
      </c>
      <c r="N27" s="133">
        <f t="shared" ca="1" si="8"/>
        <v>3.7793309091474381</v>
      </c>
      <c r="O27" s="76">
        <f t="shared" ca="1" si="0"/>
        <v>3.7793309091474381</v>
      </c>
      <c r="P27" s="138">
        <f ca="1">IFERROR(+N27/O27-1,"")</f>
        <v>0</v>
      </c>
      <c r="Q27" s="72">
        <f t="shared" ca="1" si="2"/>
        <v>0</v>
      </c>
      <c r="R27" s="135">
        <f t="shared" ca="1" si="9"/>
        <v>0</v>
      </c>
      <c r="S27" s="72">
        <f t="shared" ca="1" si="3"/>
        <v>0</v>
      </c>
      <c r="T27" s="72">
        <f t="shared" ca="1" si="4"/>
        <v>0</v>
      </c>
      <c r="U27" s="72">
        <f t="shared" ca="1" si="5"/>
        <v>0</v>
      </c>
      <c r="V27" s="82">
        <f t="shared" ca="1" si="6"/>
        <v>0</v>
      </c>
      <c r="Y27" s="4">
        <f t="shared" ca="1" si="10"/>
        <v>1.292625255795874</v>
      </c>
      <c r="Z27" s="292">
        <f t="shared" ca="1" si="7"/>
        <v>1.6117764650580626</v>
      </c>
      <c r="AA27" s="284">
        <f t="shared" ca="1" si="11"/>
        <v>0</v>
      </c>
      <c r="AB27" s="17"/>
      <c r="AD27" s="148"/>
      <c r="AE27" s="148" t="s">
        <v>253</v>
      </c>
      <c r="AF27" s="486" t="str">
        <f ca="1">IFERROR(LOOKUP($C$4,#REF!,#REF!)/1000,"n.a.")</f>
        <v>n.a.</v>
      </c>
      <c r="AG27" s="148"/>
      <c r="AH27" s="148"/>
      <c r="AO27" s="276"/>
      <c r="AQ27" s="280"/>
      <c r="AS27" s="41"/>
      <c r="AT27" s="41"/>
    </row>
    <row r="28" spans="2:46">
      <c r="B28" s="261" t="s">
        <v>300</v>
      </c>
      <c r="C28" s="449">
        <f ca="1">LOOKUP($C$4,Tariff_SimCalculation!$O$9:$Q$9,Tariff_SimCalculation!$O$13:$Q$13)</f>
        <v>0.25</v>
      </c>
      <c r="E28" s="445"/>
      <c r="F28" s="445"/>
      <c r="G28" s="445"/>
      <c r="H28" s="446"/>
      <c r="I28" s="446"/>
      <c r="K28" s="99" t="s">
        <v>30</v>
      </c>
      <c r="L28" s="100" t="s">
        <v>31</v>
      </c>
      <c r="M28" s="100" t="s">
        <v>25</v>
      </c>
      <c r="N28" s="133">
        <f t="shared" ca="1" si="8"/>
        <v>1.8680227073052884</v>
      </c>
      <c r="O28" s="101">
        <f t="shared" ca="1" si="0"/>
        <v>1.8680227073052884</v>
      </c>
      <c r="P28" s="139">
        <f ca="1">IFERROR(+N28/O28-1,"")</f>
        <v>0</v>
      </c>
      <c r="Q28" s="102">
        <f t="shared" ca="1" si="2"/>
        <v>6629423</v>
      </c>
      <c r="R28" s="136">
        <f t="shared" ca="1" si="9"/>
        <v>12383.912700331946</v>
      </c>
      <c r="S28" s="102">
        <f t="shared" ca="1" si="3"/>
        <v>6629423</v>
      </c>
      <c r="T28" s="102">
        <f t="shared" ca="1" si="4"/>
        <v>0</v>
      </c>
      <c r="U28" s="102">
        <f t="shared" ca="1" si="5"/>
        <v>12383.912700331946</v>
      </c>
      <c r="V28" s="103">
        <f t="shared" ca="1" si="6"/>
        <v>0</v>
      </c>
      <c r="X28" s="49"/>
      <c r="Y28" s="336">
        <f t="shared" ca="1" si="10"/>
        <v>0.63891026954496288</v>
      </c>
      <c r="Z28" s="293">
        <f t="shared" ca="1" si="7"/>
        <v>0.79665822025304212</v>
      </c>
      <c r="AA28" s="285">
        <f t="shared" ca="1" si="11"/>
        <v>0</v>
      </c>
      <c r="AB28" s="17"/>
      <c r="AD28" s="148"/>
      <c r="AE28" s="148"/>
      <c r="AF28" s="478"/>
      <c r="AG28" s="148"/>
      <c r="AH28" s="148"/>
      <c r="AO28" s="276"/>
      <c r="AQ28" s="280"/>
      <c r="AS28" s="41"/>
      <c r="AT28" s="41"/>
    </row>
    <row r="29" spans="2:46">
      <c r="E29" s="445"/>
      <c r="F29" s="445"/>
      <c r="G29" s="445"/>
      <c r="H29" s="446"/>
      <c r="I29" s="446"/>
      <c r="K29" s="119" t="s">
        <v>58</v>
      </c>
      <c r="L29" s="124"/>
      <c r="M29" s="125"/>
      <c r="N29" s="125"/>
      <c r="O29" s="125"/>
      <c r="P29" s="125"/>
      <c r="Q29" s="122">
        <f t="shared" ref="Q29:V29" ca="1" si="12">SUM(Q7:Q28)</f>
        <v>67518772</v>
      </c>
      <c r="R29" s="131">
        <f ca="1">SUM(R7:R28)</f>
        <v>158319.58556243478</v>
      </c>
      <c r="S29" s="122">
        <f t="shared" ca="1" si="12"/>
        <v>67518772</v>
      </c>
      <c r="T29" s="122">
        <f t="shared" ca="1" si="12"/>
        <v>0</v>
      </c>
      <c r="U29" s="131">
        <f ca="1">SUM(U7:U28)</f>
        <v>158319.58556243478</v>
      </c>
      <c r="V29" s="123">
        <f t="shared" ca="1" si="12"/>
        <v>0</v>
      </c>
      <c r="X29" s="283">
        <f ca="1">R29*1000/Q29</f>
        <v>2.3448232376387823</v>
      </c>
      <c r="Y29" s="283">
        <f ca="1">IF(R30&gt;0,R30*1000/Q29,0)</f>
        <v>0.80198792066945135</v>
      </c>
      <c r="AA29" s="503">
        <f ca="1">MAX(0,SUM(AA7:AA28))</f>
        <v>0</v>
      </c>
      <c r="AB29" s="289" t="s">
        <v>59</v>
      </c>
      <c r="AD29" s="148"/>
      <c r="AE29" s="148"/>
      <c r="AF29" s="148"/>
      <c r="AG29" s="148"/>
      <c r="AH29" s="148"/>
      <c r="AP29" s="257"/>
      <c r="AQ29" s="257"/>
      <c r="AR29" s="284"/>
      <c r="AS29" s="41"/>
      <c r="AT29" s="41"/>
    </row>
    <row r="30" spans="2:46">
      <c r="E30" s="445"/>
      <c r="F30" s="445"/>
      <c r="G30" s="445"/>
      <c r="H30" s="446"/>
      <c r="I30" s="446"/>
      <c r="K30" s="80"/>
      <c r="L30" s="69"/>
      <c r="M30" s="71"/>
      <c r="N30" s="71"/>
      <c r="O30" s="71"/>
      <c r="P30" s="71"/>
      <c r="Q30" s="126" t="s">
        <v>105</v>
      </c>
      <c r="R30" s="74">
        <f ca="1">R29-(costs_GCA_capa)/1000</f>
        <v>54149.23956243477</v>
      </c>
      <c r="T30" s="482" t="s">
        <v>325</v>
      </c>
      <c r="U30" s="483">
        <f ca="1">U29+R31</f>
        <v>104170.34600000001</v>
      </c>
      <c r="V30" s="481"/>
      <c r="Z30" s="43" t="s">
        <v>120</v>
      </c>
      <c r="AA30" s="288">
        <f ca="1">U30+AA29</f>
        <v>104170.34600000001</v>
      </c>
      <c r="AB30" s="289" t="s">
        <v>59</v>
      </c>
      <c r="AD30" s="148"/>
      <c r="AE30" s="476" t="s">
        <v>254</v>
      </c>
      <c r="AF30" s="478">
        <f ca="1">LOOKUP($C$4,Tariff_SimCalculation!$O$9:$Q$9,Tariff_SimCalculation!$O$29:$Q$29)/1000</f>
        <v>2.0086466763282496</v>
      </c>
      <c r="AG30" s="148"/>
      <c r="AH30" s="148"/>
      <c r="AQ30" s="280"/>
      <c r="AS30" s="41"/>
      <c r="AT30" s="41"/>
    </row>
    <row r="31" spans="2:46">
      <c r="E31" s="445"/>
      <c r="F31" s="445"/>
      <c r="G31" s="445"/>
      <c r="H31" s="446"/>
      <c r="I31" s="446"/>
      <c r="K31" s="80"/>
      <c r="L31" s="69"/>
      <c r="M31" s="71"/>
      <c r="N31" s="71"/>
      <c r="O31" s="71"/>
      <c r="P31" s="71"/>
      <c r="Q31" s="126" t="s">
        <v>117</v>
      </c>
      <c r="R31" s="74">
        <f ca="1">R3-R29</f>
        <v>-54149.23956243477</v>
      </c>
      <c r="T31" s="479" t="s">
        <v>326</v>
      </c>
      <c r="U31" s="334">
        <f ca="1">U30+AA29</f>
        <v>104170.34600000001</v>
      </c>
      <c r="V31" s="334">
        <f ca="1">-R3+AA30</f>
        <v>0</v>
      </c>
      <c r="Z31" s="1" t="s">
        <v>324</v>
      </c>
      <c r="AA31" s="53">
        <f ca="1">U29</f>
        <v>158319.58556243478</v>
      </c>
      <c r="AB31" s="289" t="s">
        <v>59</v>
      </c>
      <c r="AD31" s="148"/>
      <c r="AE31" s="476" t="s">
        <v>309</v>
      </c>
      <c r="AF31" s="478">
        <f ca="1">AF30</f>
        <v>2.0086466763282496</v>
      </c>
      <c r="AG31" s="148"/>
      <c r="AH31" s="148"/>
      <c r="AQ31" s="280"/>
      <c r="AS31" s="41"/>
      <c r="AT31" s="41"/>
    </row>
    <row r="32" spans="2:46" ht="15.75" thickBot="1">
      <c r="E32" s="445"/>
      <c r="F32" s="445"/>
      <c r="G32" s="445"/>
      <c r="H32" s="446"/>
      <c r="I32" s="446"/>
      <c r="K32" s="80"/>
      <c r="L32" s="69"/>
      <c r="M32" s="71"/>
      <c r="N32" s="71"/>
      <c r="O32" s="71"/>
      <c r="P32" s="71"/>
      <c r="Q32" s="71"/>
      <c r="R32" s="75"/>
      <c r="V32" s="84"/>
      <c r="Z32" s="171" t="s">
        <v>204</v>
      </c>
      <c r="AA32" s="502">
        <f ca="1">MAX(-R30+AA29,R31)</f>
        <v>-54149.23956243477</v>
      </c>
      <c r="AB32" s="289" t="s">
        <v>59</v>
      </c>
      <c r="AD32" s="148"/>
      <c r="AE32" s="58"/>
      <c r="AF32" s="148"/>
      <c r="AG32" s="148"/>
      <c r="AH32" s="148"/>
      <c r="AQ32" s="280"/>
      <c r="AS32" s="41"/>
      <c r="AT32" s="41"/>
    </row>
    <row r="33" spans="1:48">
      <c r="E33" s="445"/>
      <c r="F33" s="445"/>
      <c r="G33" s="445"/>
      <c r="H33" s="446"/>
      <c r="I33" s="446"/>
      <c r="K33" s="91" t="s">
        <v>13</v>
      </c>
      <c r="L33" s="92"/>
      <c r="M33" s="93"/>
      <c r="N33" s="94"/>
      <c r="O33" s="94"/>
      <c r="P33" s="95"/>
      <c r="Q33" s="150" t="s">
        <v>89</v>
      </c>
      <c r="R33" s="96">
        <f ca="1">costs_TAG_capa/1000</f>
        <v>176990.96</v>
      </c>
      <c r="S33" s="97"/>
      <c r="T33" s="96"/>
      <c r="U33" s="93"/>
      <c r="V33" s="98"/>
      <c r="W33" s="3"/>
      <c r="AD33" s="148"/>
      <c r="AE33" s="58" t="s">
        <v>304</v>
      </c>
      <c r="AF33" s="462">
        <f ca="1">LOOKUP($C$4,Tariff_SimCalculation!$O$9:$Q$9,Tariff_SimCalculation!$O$19:$Q$19)/1000</f>
        <v>15.70815</v>
      </c>
      <c r="AG33" s="148"/>
      <c r="AH33" s="148"/>
      <c r="AQ33" s="280"/>
      <c r="AS33" s="41"/>
      <c r="AT33" s="41"/>
    </row>
    <row r="34" spans="1:48">
      <c r="E34" s="445"/>
      <c r="F34" s="445"/>
      <c r="G34" s="445"/>
      <c r="H34" s="446"/>
      <c r="I34" s="446"/>
      <c r="K34" s="116"/>
      <c r="L34" s="117"/>
      <c r="M34" s="118"/>
      <c r="N34" s="107" t="s">
        <v>60</v>
      </c>
      <c r="O34" s="107" t="s">
        <v>60</v>
      </c>
      <c r="P34" s="137"/>
      <c r="Q34" s="108" t="s">
        <v>38</v>
      </c>
      <c r="R34" s="134" t="s">
        <v>59</v>
      </c>
      <c r="S34" s="108" t="s">
        <v>38</v>
      </c>
      <c r="T34" s="108" t="s">
        <v>38</v>
      </c>
      <c r="U34" s="109" t="s">
        <v>59</v>
      </c>
      <c r="V34" s="110" t="s">
        <v>59</v>
      </c>
      <c r="W34" s="8"/>
      <c r="X34" s="287" t="s">
        <v>60</v>
      </c>
      <c r="Y34" s="287" t="s">
        <v>60</v>
      </c>
      <c r="Z34" s="287"/>
      <c r="AA34" s="287" t="s">
        <v>59</v>
      </c>
      <c r="AD34" s="148"/>
      <c r="AE34" s="58" t="s">
        <v>305</v>
      </c>
      <c r="AF34" s="462">
        <f ca="1">LOOKUP($C$4,Tariff_SimCalculation!$O$9:$Q$9,Tariff_SimCalculation!$O$20:$Q$20)/1000</f>
        <v>5.5107089999999994</v>
      </c>
      <c r="AG34" s="148"/>
      <c r="AH34" s="148"/>
      <c r="AQ34" s="280"/>
      <c r="AS34" s="41"/>
      <c r="AT34" s="41"/>
    </row>
    <row r="35" spans="1:48">
      <c r="E35" s="445"/>
      <c r="F35" s="445"/>
      <c r="G35" s="445"/>
      <c r="H35" s="446"/>
      <c r="I35" s="446"/>
      <c r="K35" s="116"/>
      <c r="L35" s="117"/>
      <c r="M35" s="118"/>
      <c r="N35" s="111" t="s">
        <v>61</v>
      </c>
      <c r="O35" s="111" t="s">
        <v>119</v>
      </c>
      <c r="P35" s="127" t="s">
        <v>87</v>
      </c>
      <c r="Q35" s="111" t="s">
        <v>113</v>
      </c>
      <c r="R35" s="127" t="s">
        <v>116</v>
      </c>
      <c r="S35" s="111" t="s">
        <v>256</v>
      </c>
      <c r="T35" s="111" t="s">
        <v>256</v>
      </c>
      <c r="U35" s="111" t="s">
        <v>256</v>
      </c>
      <c r="V35" s="112" t="s">
        <v>256</v>
      </c>
      <c r="W35" s="70"/>
      <c r="X35" s="286" t="s">
        <v>13</v>
      </c>
      <c r="Y35" s="286" t="s">
        <v>180</v>
      </c>
      <c r="Z35" s="286" t="s">
        <v>182</v>
      </c>
      <c r="AA35" s="286" t="s">
        <v>176</v>
      </c>
      <c r="AB35" s="17"/>
      <c r="AD35" s="148"/>
      <c r="AE35" s="58" t="s">
        <v>306</v>
      </c>
      <c r="AF35" s="462">
        <f ca="1">LOOKUP($C$4,Tariff_SimCalculation!$O$9:$Q$9,Tariff_SimCalculation!$O$46:$Q$46)/1000</f>
        <v>17.716796676328251</v>
      </c>
      <c r="AG35" s="148"/>
      <c r="AH35" s="148"/>
      <c r="AQ35" s="280"/>
      <c r="AS35" s="41"/>
      <c r="AT35" s="41"/>
    </row>
    <row r="36" spans="1:48">
      <c r="E36" s="445"/>
      <c r="F36" s="445"/>
      <c r="G36" s="445"/>
      <c r="H36" s="446"/>
      <c r="I36" s="446"/>
      <c r="K36" s="129" t="s">
        <v>121</v>
      </c>
      <c r="L36" s="113" t="s">
        <v>28</v>
      </c>
      <c r="M36" s="130" t="s">
        <v>29</v>
      </c>
      <c r="N36" s="113" t="s">
        <v>88</v>
      </c>
      <c r="O36" s="113" t="s">
        <v>327</v>
      </c>
      <c r="P36" s="128" t="s">
        <v>86</v>
      </c>
      <c r="Q36" s="113" t="s">
        <v>62</v>
      </c>
      <c r="R36" s="128" t="s">
        <v>115</v>
      </c>
      <c r="S36" s="113" t="s">
        <v>114</v>
      </c>
      <c r="T36" s="113" t="s">
        <v>118</v>
      </c>
      <c r="U36" s="114" t="s">
        <v>115</v>
      </c>
      <c r="V36" s="115" t="s">
        <v>118</v>
      </c>
      <c r="W36" s="70"/>
      <c r="X36" s="282" t="s">
        <v>178</v>
      </c>
      <c r="Y36" s="282" t="s">
        <v>179</v>
      </c>
      <c r="Z36" s="282" t="s">
        <v>181</v>
      </c>
      <c r="AA36" s="48" t="s">
        <v>177</v>
      </c>
      <c r="AB36" s="17"/>
      <c r="AD36" s="148"/>
      <c r="AE36" s="58" t="s">
        <v>307</v>
      </c>
      <c r="AF36" s="462">
        <f ca="1">LOOKUP($C$4,Tariff_SimCalculation!$O$9:$Q$9,Tariff_SimCalculation!$O$47:$Q$47)/1000</f>
        <v>3.5020623236717485</v>
      </c>
      <c r="AG36" s="148"/>
      <c r="AH36" s="148"/>
      <c r="AQ36" s="280"/>
      <c r="AS36" s="41"/>
      <c r="AT36" s="41"/>
    </row>
    <row r="37" spans="1:48">
      <c r="E37" s="445"/>
      <c r="F37" s="445"/>
      <c r="G37" s="445"/>
      <c r="H37" s="446"/>
      <c r="I37" s="446"/>
      <c r="K37" s="81" t="s">
        <v>21</v>
      </c>
      <c r="L37" s="68" t="s">
        <v>31</v>
      </c>
      <c r="M37" s="68" t="s">
        <v>22</v>
      </c>
      <c r="N37" s="133">
        <f t="shared" ref="N37:N42" ca="1" si="13">J75</f>
        <v>2.7736328397447485</v>
      </c>
      <c r="O37" s="76">
        <f t="shared" ref="O37:O42" ca="1" si="14">I75</f>
        <v>2.7736328397447485</v>
      </c>
      <c r="P37" s="138">
        <f t="shared" ref="P37:P42" ca="1" si="15">IFERROR(+N37/O37-1,0)</f>
        <v>0</v>
      </c>
      <c r="Q37" s="72">
        <f t="shared" ref="Q37:Q42" ca="1" si="16">G75</f>
        <v>8239697</v>
      </c>
      <c r="R37" s="135">
        <f t="shared" ref="R37:R42" ca="1" si="17">N37*Q37/1000</f>
        <v>22853.894188746286</v>
      </c>
      <c r="S37" s="72">
        <f t="shared" ref="S37:S42" ca="1" si="18">H75</f>
        <v>8239697</v>
      </c>
      <c r="T37" s="72">
        <f t="shared" ref="T37:T42" ca="1" si="19">S37-Q37</f>
        <v>0</v>
      </c>
      <c r="U37" s="72">
        <f t="shared" ref="U37:U42" ca="1" si="20">N37*S37/1000</f>
        <v>22853.894188746286</v>
      </c>
      <c r="V37" s="82">
        <f t="shared" ref="V37:V42" ca="1" si="21">U37-R37</f>
        <v>0</v>
      </c>
      <c r="Z37" s="292">
        <f t="shared" ref="Z37:Z42" ca="1" si="22">N37/$X$43</f>
        <v>0.58058197576948611</v>
      </c>
      <c r="AA37" s="284">
        <f t="shared" ref="AA37:AA42" ca="1" si="23">-Z37*T37*$Y$43/1000</f>
        <v>0</v>
      </c>
      <c r="AB37" s="41"/>
      <c r="AD37" s="148"/>
      <c r="AE37" s="58" t="s">
        <v>308</v>
      </c>
      <c r="AF37" s="463">
        <f ca="1">+AF30</f>
        <v>2.0086466763282496</v>
      </c>
      <c r="AG37" s="148"/>
      <c r="AH37" s="148"/>
      <c r="AO37" s="41"/>
      <c r="AQ37" s="280"/>
      <c r="AS37" s="41"/>
      <c r="AT37" s="41"/>
    </row>
    <row r="38" spans="1:48">
      <c r="E38" s="445"/>
      <c r="F38" s="445"/>
      <c r="G38" s="445"/>
      <c r="H38" s="446"/>
      <c r="I38" s="446"/>
      <c r="K38" s="81" t="s">
        <v>21</v>
      </c>
      <c r="L38" s="68" t="s">
        <v>31</v>
      </c>
      <c r="M38" s="68" t="s">
        <v>20</v>
      </c>
      <c r="N38" s="133">
        <f t="shared" ca="1" si="13"/>
        <v>2.7736328397447485</v>
      </c>
      <c r="O38" s="76">
        <f t="shared" ca="1" si="14"/>
        <v>2.7736328397447485</v>
      </c>
      <c r="P38" s="138">
        <f t="shared" ca="1" si="15"/>
        <v>0</v>
      </c>
      <c r="Q38" s="72">
        <f t="shared" ca="1" si="16"/>
        <v>6234139</v>
      </c>
      <c r="R38" s="135">
        <f t="shared" ca="1" si="17"/>
        <v>17291.212657933487</v>
      </c>
      <c r="S38" s="72">
        <f t="shared" ca="1" si="18"/>
        <v>6234139</v>
      </c>
      <c r="T38" s="72">
        <f t="shared" ca="1" si="19"/>
        <v>0</v>
      </c>
      <c r="U38" s="72">
        <f t="shared" ca="1" si="20"/>
        <v>17291.212657933487</v>
      </c>
      <c r="V38" s="82">
        <f t="shared" ca="1" si="21"/>
        <v>0</v>
      </c>
      <c r="W38" s="140"/>
      <c r="Z38" s="292">
        <f t="shared" ca="1" si="22"/>
        <v>0.58058197576948611</v>
      </c>
      <c r="AA38" s="284">
        <f t="shared" ca="1" si="23"/>
        <v>0</v>
      </c>
      <c r="AB38" s="41"/>
      <c r="AD38" s="148"/>
      <c r="AE38" s="58" t="s">
        <v>309</v>
      </c>
      <c r="AF38" s="463">
        <f ca="1">+AF31</f>
        <v>2.0086466763282496</v>
      </c>
      <c r="AG38" s="148"/>
      <c r="AH38" s="148"/>
      <c r="AO38" s="41"/>
      <c r="AQ38" s="280"/>
      <c r="AS38" s="41"/>
      <c r="AT38" s="41"/>
    </row>
    <row r="39" spans="1:48">
      <c r="K39" s="83" t="s">
        <v>30</v>
      </c>
      <c r="L39" s="68" t="s">
        <v>31</v>
      </c>
      <c r="M39" s="68" t="s">
        <v>20</v>
      </c>
      <c r="N39" s="133">
        <f t="shared" ca="1" si="13"/>
        <v>10.520923454391017</v>
      </c>
      <c r="O39" s="76">
        <f t="shared" ca="1" si="14"/>
        <v>10.520923454391017</v>
      </c>
      <c r="P39" s="138">
        <f t="shared" ca="1" si="15"/>
        <v>0</v>
      </c>
      <c r="Q39" s="72">
        <f t="shared" ca="1" si="16"/>
        <v>6683747</v>
      </c>
      <c r="R39" s="135">
        <f t="shared" ca="1" si="17"/>
        <v>70319.190575515604</v>
      </c>
      <c r="S39" s="72">
        <f t="shared" ca="1" si="18"/>
        <v>6683747</v>
      </c>
      <c r="T39" s="72">
        <f t="shared" ca="1" si="19"/>
        <v>0</v>
      </c>
      <c r="U39" s="72">
        <f t="shared" ca="1" si="20"/>
        <v>70319.190575515604</v>
      </c>
      <c r="V39" s="82">
        <f t="shared" ca="1" si="21"/>
        <v>0</v>
      </c>
      <c r="W39" s="140"/>
      <c r="Z39" s="292">
        <f t="shared" ca="1" si="22"/>
        <v>2.2022592314821283</v>
      </c>
      <c r="AA39" s="284">
        <f t="shared" ca="1" si="23"/>
        <v>0</v>
      </c>
      <c r="AB39" s="41"/>
      <c r="AD39" s="148"/>
      <c r="AE39" s="58" t="s">
        <v>313</v>
      </c>
      <c r="AF39" s="463">
        <f ca="1">+AF35</f>
        <v>17.716796676328251</v>
      </c>
      <c r="AG39" s="148"/>
      <c r="AH39" s="148"/>
      <c r="AO39" s="41"/>
      <c r="AQ39" s="280"/>
      <c r="AS39" s="41"/>
      <c r="AT39" s="41"/>
    </row>
    <row r="40" spans="1:48">
      <c r="E40" s="144" t="s">
        <v>317</v>
      </c>
      <c r="F40" s="465"/>
      <c r="G40" s="466" t="b">
        <f ca="1">IFERROR(AND(ABS(R29+R43-(costs_GCA_capa+costs_TAG_capa)/1000)&lt;10),FALSE)</f>
        <v>1</v>
      </c>
      <c r="H40"/>
      <c r="I40"/>
      <c r="J40" s="437"/>
      <c r="K40" s="83" t="s">
        <v>30</v>
      </c>
      <c r="L40" s="68" t="s">
        <v>31</v>
      </c>
      <c r="M40" s="68" t="s">
        <v>35</v>
      </c>
      <c r="N40" s="133">
        <f t="shared" ca="1" si="13"/>
        <v>2.0916000000000001</v>
      </c>
      <c r="O40" s="76">
        <f t="shared" ca="1" si="14"/>
        <v>2.0916000000000001</v>
      </c>
      <c r="P40" s="138">
        <f t="shared" ca="1" si="15"/>
        <v>0</v>
      </c>
      <c r="Q40" s="72">
        <f t="shared" ca="1" si="16"/>
        <v>3562671.9999999963</v>
      </c>
      <c r="R40" s="135">
        <f t="shared" ca="1" si="17"/>
        <v>7451.6847551999927</v>
      </c>
      <c r="S40" s="72">
        <f t="shared" ca="1" si="18"/>
        <v>3562671.9999999963</v>
      </c>
      <c r="T40" s="72">
        <f t="shared" ca="1" si="19"/>
        <v>0</v>
      </c>
      <c r="U40" s="72">
        <f t="shared" ca="1" si="20"/>
        <v>7451.6847551999927</v>
      </c>
      <c r="V40" s="82">
        <f t="shared" ca="1" si="21"/>
        <v>0</v>
      </c>
      <c r="Z40" s="292">
        <f t="shared" ca="1" si="22"/>
        <v>0.43781759543603138</v>
      </c>
      <c r="AA40" s="284">
        <f t="shared" ca="1" si="23"/>
        <v>0</v>
      </c>
      <c r="AB40" s="41"/>
      <c r="AD40" s="148"/>
      <c r="AE40" s="58" t="s">
        <v>314</v>
      </c>
      <c r="AF40" s="463">
        <f ca="1">+AF36</f>
        <v>3.5020623236717485</v>
      </c>
      <c r="AG40" s="148"/>
      <c r="AH40" s="148"/>
      <c r="AO40" s="41"/>
      <c r="AQ40" s="280"/>
      <c r="AS40" s="41"/>
      <c r="AT40" s="41"/>
    </row>
    <row r="41" spans="1:48">
      <c r="D41" s="232"/>
      <c r="E41" s="1"/>
      <c r="H41"/>
      <c r="I41"/>
      <c r="J41" s="4"/>
      <c r="K41" s="83" t="s">
        <v>30</v>
      </c>
      <c r="L41" s="68" t="s">
        <v>31</v>
      </c>
      <c r="M41" s="68" t="s">
        <v>36</v>
      </c>
      <c r="N41" s="133">
        <f t="shared" ca="1" si="13"/>
        <v>7.680818605912572</v>
      </c>
      <c r="O41" s="76">
        <f t="shared" ca="1" si="14"/>
        <v>7.680818605912572</v>
      </c>
      <c r="P41" s="138">
        <f t="shared" ca="1" si="15"/>
        <v>0</v>
      </c>
      <c r="Q41" s="72">
        <f t="shared" ca="1" si="16"/>
        <v>471870.99999999959</v>
      </c>
      <c r="R41" s="135">
        <f t="shared" ca="1" si="17"/>
        <v>3624.3555563905679</v>
      </c>
      <c r="S41" s="72">
        <f t="shared" ca="1" si="18"/>
        <v>471870.99999999959</v>
      </c>
      <c r="T41" s="72">
        <f t="shared" ca="1" si="19"/>
        <v>0</v>
      </c>
      <c r="U41" s="72">
        <f t="shared" ca="1" si="20"/>
        <v>3624.3555563905679</v>
      </c>
      <c r="V41" s="82">
        <f t="shared" ca="1" si="21"/>
        <v>0</v>
      </c>
      <c r="Z41" s="292">
        <f t="shared" ca="1" si="22"/>
        <v>1.6077632114271243</v>
      </c>
      <c r="AA41" s="284">
        <f t="shared" ca="1" si="23"/>
        <v>0</v>
      </c>
      <c r="AB41" s="41"/>
      <c r="AD41" s="148"/>
      <c r="AE41" s="58" t="s">
        <v>310</v>
      </c>
      <c r="AF41" s="463">
        <f ca="1">AF39-AF38</f>
        <v>15.708150000000002</v>
      </c>
      <c r="AG41" s="148"/>
      <c r="AH41" s="148"/>
      <c r="AO41" s="41"/>
      <c r="AQ41" s="280"/>
      <c r="AS41" s="41"/>
      <c r="AT41" s="41"/>
    </row>
    <row r="42" spans="1:48">
      <c r="H42"/>
      <c r="I42"/>
      <c r="J42" s="5"/>
      <c r="K42" s="484" t="s">
        <v>21</v>
      </c>
      <c r="L42" s="485" t="s">
        <v>32</v>
      </c>
      <c r="M42" s="100" t="s">
        <v>20</v>
      </c>
      <c r="N42" s="133">
        <f t="shared" ca="1" si="13"/>
        <v>2.4962695557702737</v>
      </c>
      <c r="O42" s="101">
        <f t="shared" ca="1" si="14"/>
        <v>2.4962695557702737</v>
      </c>
      <c r="P42" s="139">
        <f t="shared" ca="1" si="15"/>
        <v>0</v>
      </c>
      <c r="Q42" s="102">
        <f t="shared" ca="1" si="16"/>
        <v>521331</v>
      </c>
      <c r="R42" s="136">
        <f t="shared" ca="1" si="17"/>
        <v>1301.3827037792726</v>
      </c>
      <c r="S42" s="141">
        <f t="shared" ca="1" si="18"/>
        <v>521331</v>
      </c>
      <c r="T42" s="102">
        <f t="shared" ca="1" si="19"/>
        <v>0</v>
      </c>
      <c r="U42" s="102">
        <f t="shared" ca="1" si="20"/>
        <v>1301.3827037792726</v>
      </c>
      <c r="V42" s="103">
        <f t="shared" ca="1" si="21"/>
        <v>0</v>
      </c>
      <c r="W42" s="480" t="s">
        <v>323</v>
      </c>
      <c r="X42" s="49"/>
      <c r="Y42" s="49"/>
      <c r="Z42" s="293">
        <f t="shared" ca="1" si="22"/>
        <v>0.52252377819253748</v>
      </c>
      <c r="AA42" s="285">
        <f t="shared" ca="1" si="23"/>
        <v>0</v>
      </c>
      <c r="AD42" s="148"/>
      <c r="AE42" s="58" t="s">
        <v>311</v>
      </c>
      <c r="AF42" s="463">
        <f ca="1">AF40+AF38</f>
        <v>5.5107089999999985</v>
      </c>
      <c r="AG42" s="148"/>
      <c r="AH42" s="148"/>
      <c r="AQ42" s="280"/>
      <c r="AS42" s="41"/>
      <c r="AT42" s="41"/>
    </row>
    <row r="43" spans="1:48">
      <c r="H43"/>
      <c r="I43"/>
      <c r="K43" s="119" t="s">
        <v>58</v>
      </c>
      <c r="L43" s="120"/>
      <c r="M43" s="121"/>
      <c r="N43" s="121"/>
      <c r="O43" s="121"/>
      <c r="P43" s="121"/>
      <c r="Q43" s="122">
        <f t="shared" ref="Q43:V43" ca="1" si="24">SUM(Q37:Q42)</f>
        <v>25713456.999999996</v>
      </c>
      <c r="R43" s="131">
        <f ca="1">SUM(R37:R42)</f>
        <v>122841.72043756521</v>
      </c>
      <c r="S43" s="122">
        <f t="shared" ca="1" si="24"/>
        <v>25713456.999999996</v>
      </c>
      <c r="T43" s="122">
        <f t="shared" ca="1" si="24"/>
        <v>0</v>
      </c>
      <c r="U43" s="131">
        <f t="shared" ca="1" si="24"/>
        <v>122841.72043756521</v>
      </c>
      <c r="V43" s="123">
        <f t="shared" ca="1" si="24"/>
        <v>0</v>
      </c>
      <c r="W43" s="480">
        <f ca="1">V29+V43</f>
        <v>0</v>
      </c>
      <c r="X43" s="283">
        <f ca="1">R43*1000/Q43</f>
        <v>4.7773319798098415</v>
      </c>
      <c r="Y43" s="283">
        <f ca="1">IF(R44&gt;0,R44*1000/Q43,0)</f>
        <v>0</v>
      </c>
      <c r="AA43" s="290">
        <f ca="1">IF(Y43=0,-AA29,SUM(AA37:AA42))</f>
        <v>0</v>
      </c>
      <c r="AB43" s="289" t="s">
        <v>59</v>
      </c>
      <c r="AD43" s="148"/>
      <c r="AE43" s="58" t="s">
        <v>312</v>
      </c>
      <c r="AF43" s="463">
        <f ca="1">AF38-AF37</f>
        <v>0</v>
      </c>
      <c r="AG43" s="148"/>
      <c r="AH43" s="148"/>
      <c r="AQ43" s="442"/>
      <c r="AR43" s="284"/>
      <c r="AS43" s="41"/>
      <c r="AT43" s="41"/>
    </row>
    <row r="44" spans="1:48">
      <c r="H44"/>
      <c r="I44"/>
      <c r="K44" s="80"/>
      <c r="L44" s="77"/>
      <c r="M44" s="78"/>
      <c r="N44" s="78"/>
      <c r="O44" s="78"/>
      <c r="P44" s="78"/>
      <c r="Q44" s="126" t="s">
        <v>105</v>
      </c>
      <c r="R44" s="74">
        <f ca="1">R43-(costs_TAG_capa)/1000</f>
        <v>-54149.239562434785</v>
      </c>
      <c r="S44" s="78"/>
      <c r="T44" s="482" t="s">
        <v>325</v>
      </c>
      <c r="U44" s="483">
        <f ca="1">U43+R45</f>
        <v>176990.96</v>
      </c>
      <c r="V44" s="481"/>
      <c r="W44" s="13"/>
      <c r="Z44" s="43" t="s">
        <v>120</v>
      </c>
      <c r="AA44" s="288">
        <f ca="1">U44+AA43</f>
        <v>176990.96</v>
      </c>
      <c r="AB44" s="289" t="s">
        <v>59</v>
      </c>
      <c r="AD44" s="148"/>
      <c r="AE44" s="58" t="s">
        <v>315</v>
      </c>
      <c r="AF44" s="464">
        <f ca="1">AF41-AF33</f>
        <v>0</v>
      </c>
      <c r="AG44" s="148"/>
      <c r="AH44" s="148"/>
      <c r="AQ44" s="280"/>
      <c r="AS44" s="41"/>
      <c r="AT44" s="41"/>
    </row>
    <row r="45" spans="1:48">
      <c r="G45" s="1"/>
      <c r="H45" s="1"/>
      <c r="I45" s="1"/>
      <c r="K45" s="80"/>
      <c r="L45" s="77"/>
      <c r="M45" s="78"/>
      <c r="N45" s="78"/>
      <c r="O45" s="78"/>
      <c r="P45" s="78"/>
      <c r="Q45" s="126" t="s">
        <v>117</v>
      </c>
      <c r="R45" s="74">
        <f ca="1">R33-R43</f>
        <v>54149.239562434785</v>
      </c>
      <c r="S45" s="78"/>
      <c r="T45" s="479" t="s">
        <v>326</v>
      </c>
      <c r="U45" s="334">
        <f ca="1">U44+AA43</f>
        <v>176990.96</v>
      </c>
      <c r="V45" s="334">
        <f ca="1">-R33+AA44</f>
        <v>0</v>
      </c>
      <c r="W45" s="480">
        <f ca="1">V31+V45</f>
        <v>0</v>
      </c>
      <c r="Z45" s="1" t="s">
        <v>324</v>
      </c>
      <c r="AA45" s="53">
        <f ca="1">U43</f>
        <v>122841.72043756521</v>
      </c>
      <c r="AB45" s="289" t="s">
        <v>59</v>
      </c>
      <c r="AD45" s="148"/>
      <c r="AE45" s="58" t="s">
        <v>316</v>
      </c>
      <c r="AF45" s="464">
        <f ca="1">AF42-AF34</f>
        <v>0</v>
      </c>
      <c r="AG45" s="148"/>
      <c r="AH45" s="148"/>
      <c r="AQ45" s="280"/>
      <c r="AS45" s="41"/>
      <c r="AT45" s="41"/>
    </row>
    <row r="46" spans="1:48" ht="15.75" thickBot="1">
      <c r="G46" s="1"/>
      <c r="H46" s="1"/>
      <c r="I46" s="1"/>
      <c r="K46" s="85"/>
      <c r="L46" s="89"/>
      <c r="M46" s="90"/>
      <c r="N46" s="90"/>
      <c r="O46" s="90"/>
      <c r="P46" s="90"/>
      <c r="Q46" s="90"/>
      <c r="R46" s="86"/>
      <c r="S46" s="87"/>
      <c r="T46" s="87"/>
      <c r="U46" s="87"/>
      <c r="V46" s="88"/>
      <c r="W46" s="480">
        <f ca="1">W43-W45</f>
        <v>0</v>
      </c>
      <c r="Z46" s="171" t="s">
        <v>204</v>
      </c>
      <c r="AA46" s="291">
        <f ca="1">-AA32</f>
        <v>54149.23956243477</v>
      </c>
      <c r="AB46" s="289" t="s">
        <v>59</v>
      </c>
      <c r="AD46" s="148"/>
      <c r="AE46" s="148"/>
      <c r="AF46" s="148"/>
      <c r="AG46" s="148"/>
      <c r="AH46" s="148"/>
      <c r="AQ46" s="280"/>
      <c r="AS46" s="41"/>
      <c r="AT46" s="41"/>
    </row>
    <row r="47" spans="1:48">
      <c r="E47" s="1"/>
      <c r="F47" s="1"/>
      <c r="G47" s="1"/>
      <c r="H47" s="1"/>
      <c r="I47" s="1"/>
      <c r="Z47" s="171"/>
      <c r="AA47" s="53"/>
      <c r="AB47" s="289"/>
    </row>
    <row r="48" spans="1:48" ht="18.75">
      <c r="A48" s="60" t="s">
        <v>318</v>
      </c>
      <c r="B48" s="60"/>
      <c r="C48" s="60"/>
      <c r="D48" s="60"/>
      <c r="E48" s="60"/>
      <c r="F48" s="60"/>
      <c r="G48" s="60"/>
      <c r="H48" s="61"/>
      <c r="I48" s="61"/>
      <c r="J48" s="60"/>
      <c r="K48" s="60"/>
      <c r="L48" s="60"/>
      <c r="M48" s="60"/>
      <c r="N48" s="60"/>
      <c r="O48" s="60"/>
      <c r="P48" s="60"/>
      <c r="Q48" s="60"/>
      <c r="R48" s="60"/>
      <c r="S48" s="60"/>
      <c r="T48" s="60"/>
      <c r="U48" s="60"/>
      <c r="V48" s="60"/>
      <c r="W48" s="60"/>
      <c r="X48" s="60"/>
      <c r="Y48" s="60"/>
      <c r="Z48" s="60"/>
      <c r="AA48" s="60"/>
      <c r="AB48" s="60"/>
      <c r="AC48" s="60"/>
      <c r="AD48" s="60"/>
      <c r="AE48" s="60"/>
      <c r="AF48" s="60"/>
      <c r="AG48" s="60"/>
      <c r="AH48" s="60"/>
      <c r="AI48" s="60"/>
      <c r="AJ48" s="60"/>
      <c r="AK48" s="60"/>
      <c r="AL48" s="60"/>
      <c r="AM48" s="60"/>
      <c r="AN48" s="60"/>
      <c r="AO48" s="60"/>
      <c r="AP48" s="60"/>
      <c r="AQ48" s="60"/>
      <c r="AR48" s="60"/>
      <c r="AS48" s="60"/>
      <c r="AT48" s="60"/>
      <c r="AU48" s="60"/>
      <c r="AV48" s="60"/>
    </row>
    <row r="49" spans="1:46">
      <c r="F49" s="58"/>
      <c r="G49" s="59"/>
      <c r="H49" s="59"/>
      <c r="I49" s="59"/>
      <c r="K49" s="3"/>
      <c r="R49" s="159"/>
      <c r="S49" s="155"/>
      <c r="T49" s="255"/>
      <c r="U49" s="158"/>
      <c r="V49" s="158"/>
      <c r="W49" s="255"/>
      <c r="X49" s="264"/>
      <c r="Y49" s="155"/>
      <c r="Z49" s="155"/>
      <c r="AA49" s="72"/>
      <c r="AD49" s="159"/>
      <c r="AE49" s="155"/>
      <c r="AF49" s="255"/>
      <c r="AG49" s="158"/>
      <c r="AH49" s="158"/>
      <c r="AI49" s="255"/>
      <c r="AJ49" s="264"/>
      <c r="AK49" s="155"/>
      <c r="AL49" s="155"/>
      <c r="AM49" s="72"/>
      <c r="AN49" s="17"/>
      <c r="AO49" s="17"/>
      <c r="AP49" s="438"/>
      <c r="AQ49" s="438"/>
      <c r="AR49" s="438"/>
      <c r="AS49" s="438"/>
    </row>
    <row r="50" spans="1:46">
      <c r="F50" s="58"/>
      <c r="G50" s="59"/>
      <c r="H50" s="59"/>
      <c r="I50" s="59"/>
      <c r="R50" s="155"/>
      <c r="S50" s="155"/>
      <c r="T50" s="255"/>
      <c r="U50" s="158"/>
      <c r="V50" s="158"/>
      <c r="W50" s="155"/>
      <c r="X50" s="158"/>
      <c r="Y50" s="158"/>
      <c r="Z50" s="155"/>
      <c r="AA50" s="17"/>
      <c r="AD50" s="155"/>
      <c r="AE50" s="155"/>
      <c r="AF50" s="255"/>
      <c r="AG50" s="158"/>
      <c r="AH50" s="158"/>
      <c r="AI50" s="155"/>
      <c r="AJ50" s="158"/>
      <c r="AK50" s="158"/>
      <c r="AL50" s="155"/>
      <c r="AM50" s="17"/>
      <c r="AN50" s="17"/>
      <c r="AO50" s="17"/>
      <c r="AP50" s="438"/>
      <c r="AQ50" s="438"/>
      <c r="AR50" s="438"/>
      <c r="AS50" s="438"/>
      <c r="AT50" s="155"/>
    </row>
    <row r="51" spans="1:46">
      <c r="G51" s="8" t="s">
        <v>63</v>
      </c>
      <c r="H51" s="44" t="s">
        <v>63</v>
      </c>
      <c r="I51" s="8" t="s">
        <v>57</v>
      </c>
      <c r="J51" s="8" t="s">
        <v>57</v>
      </c>
      <c r="N51" t="s">
        <v>335</v>
      </c>
      <c r="O51" s="498">
        <f>Tariff_SimCalculation!Q36</f>
        <v>0</v>
      </c>
      <c r="R51" s="155"/>
      <c r="S51" s="155"/>
      <c r="T51" s="155"/>
      <c r="U51" s="156"/>
      <c r="V51" s="156"/>
      <c r="W51" s="155"/>
      <c r="X51" s="166"/>
      <c r="Y51" s="166"/>
      <c r="Z51" s="166"/>
      <c r="AA51" s="17"/>
      <c r="AD51" s="155"/>
      <c r="AE51" s="155"/>
      <c r="AF51" s="155"/>
      <c r="AG51" s="156"/>
      <c r="AH51" s="156"/>
      <c r="AI51" s="155"/>
      <c r="AJ51" s="166"/>
      <c r="AK51" s="166"/>
      <c r="AL51" s="166"/>
      <c r="AM51" s="17"/>
      <c r="AN51" s="17"/>
      <c r="AO51" s="17"/>
      <c r="AR51" s="8"/>
      <c r="AS51" s="8"/>
      <c r="AT51" s="155"/>
    </row>
    <row r="52" spans="1:46" ht="30" customHeight="1">
      <c r="C52" s="48" t="s">
        <v>26</v>
      </c>
      <c r="D52" s="48" t="s">
        <v>27</v>
      </c>
      <c r="E52" s="48" t="s">
        <v>28</v>
      </c>
      <c r="F52" s="48" t="s">
        <v>29</v>
      </c>
      <c r="G52" s="45" t="s">
        <v>110</v>
      </c>
      <c r="H52" s="45" t="s">
        <v>251</v>
      </c>
      <c r="I52" s="45" t="s">
        <v>321</v>
      </c>
      <c r="J52" s="45" t="s">
        <v>112</v>
      </c>
      <c r="K52" s="499" t="s">
        <v>355</v>
      </c>
      <c r="L52" s="515" t="s">
        <v>354</v>
      </c>
      <c r="M52" s="499" t="s">
        <v>336</v>
      </c>
      <c r="N52" s="499" t="s">
        <v>330</v>
      </c>
      <c r="O52" s="499" t="s">
        <v>351</v>
      </c>
      <c r="P52" s="499" t="s">
        <v>346</v>
      </c>
      <c r="Q52" s="499" t="s">
        <v>347</v>
      </c>
      <c r="R52" s="499" t="s">
        <v>348</v>
      </c>
      <c r="S52" s="497"/>
      <c r="T52" s="155"/>
      <c r="U52" s="160"/>
      <c r="V52" s="160"/>
      <c r="W52" s="167"/>
      <c r="X52" s="158"/>
      <c r="Y52" s="158"/>
      <c r="Z52" s="158"/>
      <c r="AD52" s="160"/>
      <c r="AE52" s="155"/>
      <c r="AF52" s="155"/>
      <c r="AG52" s="160"/>
      <c r="AH52" s="160"/>
      <c r="AI52" s="167"/>
      <c r="AJ52" s="158"/>
      <c r="AK52" s="158"/>
      <c r="AL52" s="158"/>
      <c r="AP52" s="2"/>
      <c r="AQ52" s="2"/>
      <c r="AR52" s="7"/>
      <c r="AS52" s="7"/>
      <c r="AT52" s="155"/>
    </row>
    <row r="53" spans="1:46">
      <c r="C53" s="14" t="s">
        <v>0</v>
      </c>
      <c r="D53" t="s">
        <v>21</v>
      </c>
      <c r="E53" t="s">
        <v>31</v>
      </c>
      <c r="F53" t="s">
        <v>22</v>
      </c>
      <c r="G53" s="12">
        <f ca="1">OFFSET(Tariff_SimCalculation!O55,,$C$4-rpm_start_year)</f>
        <v>3366967</v>
      </c>
      <c r="H53" s="12">
        <f ca="1">OFFSET(Tariff_SimCalculation!R55,,$C$4-rpm_start_year)</f>
        <v>3366967</v>
      </c>
      <c r="I53" s="474">
        <f ca="1">'CWD 2026_V1'!J53</f>
        <v>2.7736328397447485</v>
      </c>
      <c r="J53" s="469">
        <f ca="1">R53</f>
        <v>2.7736328397447485</v>
      </c>
      <c r="K53" s="511" t="str">
        <f>IF(N53=1,I53*(1+$O$51),"")</f>
        <v/>
      </c>
      <c r="L53" s="13"/>
      <c r="M53" s="4">
        <f ca="1">IF(D53="Entry",INDEX($AS$109:$AT$118,MATCH(F53,$D$109:$D$118,0),IF(E53="FZK",1,2)),INDEX($E$132:$AC$133,IF(E53="FZK",1,2),MATCH(F53,$E$108:$AC$108,0)))</f>
        <v>2.3921715631192404</v>
      </c>
      <c r="N53" s="62"/>
      <c r="O53" s="4">
        <f ca="1">IF(N53=1,MIN(M53,I53*(1+$O$51)),M53)</f>
        <v>2.3921715631192404</v>
      </c>
      <c r="P53" s="66">
        <f ca="1">IF(Tariff_SimCalculation!$W$3&lt;&gt;1,IF(AND($N53&lt;&gt;1,$D53="Exit"),O53*O$89,O53),IF($N53&lt;&gt;1,O53*O$90,O53))</f>
        <v>2.7718051732026026</v>
      </c>
      <c r="Q53" s="4">
        <f ca="1">IF(Tariff_SimCalculation!$W$3&lt;&gt;1,IF(AND($N53&lt;&gt;1,$D53="Exit"),P53*P$89,P53),IF($N53&lt;&gt;1,P53*P$90,P53))</f>
        <v>2.7736328397447485</v>
      </c>
      <c r="R53" s="4">
        <f ca="1">IF(Tariff_SimCalculation!$W$3&lt;&gt;1,IF(AND($N53&lt;&gt;1,$D53="Exit"),Q53*Q$89,Q53),IF($N53&lt;&gt;1,Q53*Q$90,Q53))</f>
        <v>2.7736328397447485</v>
      </c>
      <c r="S53" s="155"/>
      <c r="T53" s="155"/>
      <c r="U53" s="513"/>
      <c r="W53" s="513"/>
      <c r="X53" s="158"/>
      <c r="Y53" s="158"/>
      <c r="Z53" s="158"/>
      <c r="AD53" s="157"/>
      <c r="AE53" s="155"/>
      <c r="AF53" s="155"/>
      <c r="AG53" s="158"/>
      <c r="AH53" s="158"/>
      <c r="AI53" s="167"/>
      <c r="AJ53" s="158"/>
      <c r="AK53" s="158"/>
      <c r="AL53" s="158"/>
      <c r="AR53" s="64"/>
      <c r="AS53" s="64"/>
      <c r="AT53" s="155"/>
    </row>
    <row r="54" spans="1:46">
      <c r="C54" s="14" t="s">
        <v>0</v>
      </c>
      <c r="D54" t="s">
        <v>21</v>
      </c>
      <c r="E54" t="s">
        <v>31</v>
      </c>
      <c r="F54" t="s">
        <v>23</v>
      </c>
      <c r="G54" s="12">
        <f ca="1">OFFSET(Tariff_SimCalculation!O56,,$C$4-rpm_start_year)</f>
        <v>7618999</v>
      </c>
      <c r="H54" s="12">
        <f ca="1">OFFSET(Tariff_SimCalculation!R56,,$C$4-rpm_start_year)</f>
        <v>7618999</v>
      </c>
      <c r="I54" s="474">
        <f ca="1">'CWD 2026_V1'!J54</f>
        <v>2.7736328397447485</v>
      </c>
      <c r="J54" s="469">
        <f t="shared" ref="J54:J80" ca="1" si="25">R54</f>
        <v>2.7736328397447485</v>
      </c>
      <c r="K54" s="511" t="str">
        <f t="shared" ref="K54:K80" si="26">IF(N54=1,I54*(1+$O$51),"")</f>
        <v/>
      </c>
      <c r="L54" s="516"/>
      <c r="M54" s="4">
        <f t="shared" ref="M54:M65" ca="1" si="27">IF(D54="Entry",INDEX($AS$109:$AT$118,MATCH(F54,$D$109:$D$118,0),IF(E54="FZK",1,2)),INDEX($E$132:$AC$133,IF(E54="FZK",1,2),MATCH(F54,$E$108:$AC$108,0)))</f>
        <v>2.3921715631192404</v>
      </c>
      <c r="N54" s="62"/>
      <c r="O54" s="4">
        <f t="shared" ref="O54:O77" ca="1" si="28">IF(N54=1,MIN(M54,I54*(1+$O$51)),M54)</f>
        <v>2.3921715631192404</v>
      </c>
      <c r="P54" s="66">
        <f ca="1">IF(Tariff_SimCalculation!$W$3&lt;&gt;1,IF(AND($N54&lt;&gt;1,$D54="Exit"),O54*O$89,O54),IF($N54&lt;&gt;1,O54*O$90,O54))</f>
        <v>2.7718051732026026</v>
      </c>
      <c r="Q54" s="4">
        <f ca="1">IF(Tariff_SimCalculation!$W$3&lt;&gt;1,IF(AND($N54&lt;&gt;1,$D54="Exit"),P54*P$89,P54),IF($N54&lt;&gt;1,P54*P$90,P54))</f>
        <v>2.7736328397447485</v>
      </c>
      <c r="R54" s="4">
        <f ca="1">IF(Tariff_SimCalculation!$W$3&lt;&gt;1,IF(AND($N54&lt;&gt;1,$D54="Exit"),Q54*Q$89,Q54),IF($N54&lt;&gt;1,Q54*Q$90,Q54))</f>
        <v>2.7736328397447485</v>
      </c>
      <c r="S54" s="155"/>
      <c r="T54" s="155"/>
      <c r="U54" s="513"/>
      <c r="W54" s="513"/>
      <c r="X54" s="158"/>
      <c r="Y54" s="158"/>
      <c r="Z54" s="158"/>
      <c r="AD54" s="157"/>
      <c r="AE54" s="155"/>
      <c r="AF54" s="155"/>
      <c r="AG54" s="158"/>
      <c r="AH54" s="158"/>
      <c r="AI54" s="167"/>
      <c r="AJ54" s="158"/>
      <c r="AK54" s="158"/>
      <c r="AL54" s="158"/>
      <c r="AR54" s="64"/>
      <c r="AS54" s="64"/>
      <c r="AT54" s="155"/>
    </row>
    <row r="55" spans="1:46">
      <c r="C55" s="14" t="s">
        <v>0</v>
      </c>
      <c r="D55" t="s">
        <v>21</v>
      </c>
      <c r="E55" t="s">
        <v>31</v>
      </c>
      <c r="F55" t="s">
        <v>24</v>
      </c>
      <c r="G55" s="12">
        <f ca="1">OFFSET(Tariff_SimCalculation!O57,,$C$4-rpm_start_year)</f>
        <v>818029</v>
      </c>
      <c r="H55" s="12">
        <f ca="1">OFFSET(Tariff_SimCalculation!R57,,$C$4-rpm_start_year)</f>
        <v>818029</v>
      </c>
      <c r="I55" s="474">
        <f ca="1">'CWD 2026_V1'!J55</f>
        <v>2.7736328397447485</v>
      </c>
      <c r="J55" s="469">
        <f t="shared" ca="1" si="25"/>
        <v>2.7736328397447485</v>
      </c>
      <c r="K55" s="511" t="str">
        <f t="shared" si="26"/>
        <v/>
      </c>
      <c r="L55" s="516"/>
      <c r="M55" s="4">
        <f t="shared" ca="1" si="27"/>
        <v>2.3921715631192404</v>
      </c>
      <c r="N55" s="62"/>
      <c r="O55" s="4">
        <f t="shared" ca="1" si="28"/>
        <v>2.3921715631192404</v>
      </c>
      <c r="P55" s="66">
        <f ca="1">IF(Tariff_SimCalculation!$W$3&lt;&gt;1,IF(AND($N55&lt;&gt;1,$D55="Exit"),O55*O$89,O55),IF($N55&lt;&gt;1,O55*O$90,O55))</f>
        <v>2.7718051732026026</v>
      </c>
      <c r="Q55" s="4">
        <f ca="1">IF(Tariff_SimCalculation!$W$3&lt;&gt;1,IF(AND($N55&lt;&gt;1,$D55="Exit"),P55*P$89,P55),IF($N55&lt;&gt;1,P55*P$90,P55))</f>
        <v>2.7736328397447485</v>
      </c>
      <c r="R55" s="4">
        <f ca="1">IF(Tariff_SimCalculation!$W$3&lt;&gt;1,IF(AND($N55&lt;&gt;1,$D55="Exit"),Q55*Q$89,Q55),IF($N55&lt;&gt;1,Q55*Q$90,Q55))</f>
        <v>2.7736328397447485</v>
      </c>
      <c r="S55" s="155"/>
      <c r="T55" s="155"/>
      <c r="U55" s="513"/>
      <c r="W55" s="513"/>
      <c r="X55" s="158"/>
      <c r="Y55" s="158"/>
      <c r="Z55" s="158"/>
      <c r="AD55" s="157"/>
      <c r="AE55" s="155"/>
      <c r="AF55" s="155"/>
      <c r="AG55" s="158"/>
      <c r="AH55" s="158"/>
      <c r="AI55" s="167"/>
      <c r="AJ55" s="158"/>
      <c r="AK55" s="158"/>
      <c r="AL55" s="158"/>
      <c r="AR55" s="64"/>
      <c r="AS55" s="64"/>
      <c r="AT55" s="155"/>
    </row>
    <row r="56" spans="1:46">
      <c r="A56" s="59"/>
      <c r="C56" s="14" t="s">
        <v>0</v>
      </c>
      <c r="D56" t="s">
        <v>21</v>
      </c>
      <c r="E56" t="s">
        <v>31</v>
      </c>
      <c r="F56" t="s">
        <v>39</v>
      </c>
      <c r="G56" s="12">
        <f ca="1">OFFSET(Tariff_SimCalculation!O58,,$C$4-rpm_start_year)</f>
        <v>0</v>
      </c>
      <c r="H56" s="12">
        <f ca="1">OFFSET(Tariff_SimCalculation!R58,,$C$4-rpm_start_year)</f>
        <v>0</v>
      </c>
      <c r="I56" s="474">
        <f ca="1">'CWD 2026_V1'!J56</f>
        <v>2.7736328397447485</v>
      </c>
      <c r="J56" s="469">
        <f t="shared" ca="1" si="25"/>
        <v>2.7736328397447485</v>
      </c>
      <c r="K56" s="511" t="str">
        <f t="shared" si="26"/>
        <v/>
      </c>
      <c r="L56" s="517">
        <f ca="1">IF(Tariff_SimCalculation!X11=1,J53,J53*AF112/AF109)</f>
        <v>2.7736328397447485</v>
      </c>
      <c r="M56" s="4">
        <f t="shared" ca="1" si="27"/>
        <v>2.3921715631192404</v>
      </c>
      <c r="N56" s="62"/>
      <c r="O56" s="4">
        <f t="shared" ca="1" si="28"/>
        <v>2.3921715631192404</v>
      </c>
      <c r="P56" s="66">
        <f ca="1">IF(Tariff_SimCalculation!$W$3&lt;&gt;1,IF(AND($N56&lt;&gt;1,$D56="Exit"),O56*O$89,O56),IF($N56&lt;&gt;1,O56*O$90,O56))</f>
        <v>2.7718051732026026</v>
      </c>
      <c r="Q56" s="4">
        <f ca="1">IF(Tariff_SimCalculation!$W$3&lt;&gt;1,IF(AND($N56&lt;&gt;1,$D56="Exit"),P56*P$89,P56),IF($N56&lt;&gt;1,P56*P$90,P56))</f>
        <v>2.7736328397447485</v>
      </c>
      <c r="R56" s="4">
        <f ca="1">IF(Tariff_SimCalculation!$W$3&lt;&gt;1,IF(AND($N56&lt;&gt;1,$D56="Exit"),Q56*Q$89,Q56),IF($N56&lt;&gt;1,Q56*Q$90,Q56))</f>
        <v>2.7736328397447485</v>
      </c>
      <c r="S56" s="155"/>
      <c r="T56" s="155"/>
      <c r="U56" s="513"/>
      <c r="W56" s="513"/>
      <c r="X56" s="158"/>
      <c r="Y56" s="158"/>
      <c r="Z56" s="158"/>
      <c r="AD56" s="157"/>
      <c r="AE56" s="155"/>
      <c r="AF56" s="155"/>
      <c r="AG56" s="158"/>
      <c r="AH56" s="158"/>
      <c r="AI56" s="155"/>
      <c r="AJ56" s="158"/>
      <c r="AK56" s="158"/>
      <c r="AL56" s="158"/>
      <c r="AR56" s="64"/>
      <c r="AS56" s="64"/>
      <c r="AT56" s="155"/>
    </row>
    <row r="57" spans="1:46">
      <c r="A57" s="59"/>
      <c r="C57" s="14" t="s">
        <v>0</v>
      </c>
      <c r="D57" t="s">
        <v>21</v>
      </c>
      <c r="E57" t="s">
        <v>31</v>
      </c>
      <c r="F57" t="s">
        <v>34</v>
      </c>
      <c r="G57" s="12">
        <f ca="1">OFFSET(Tariff_SimCalculation!O59,,$C$4-rpm_start_year)</f>
        <v>0</v>
      </c>
      <c r="H57" s="12">
        <f ca="1">OFFSET(Tariff_SimCalculation!R59,,$C$4-rpm_start_year)</f>
        <v>0</v>
      </c>
      <c r="I57" s="474">
        <f ca="1">'CWD 2026_V1'!J57</f>
        <v>2.7736328397447485</v>
      </c>
      <c r="J57" s="469">
        <f t="shared" ca="1" si="25"/>
        <v>2.7736328397447485</v>
      </c>
      <c r="K57" s="511" t="str">
        <f t="shared" si="26"/>
        <v/>
      </c>
      <c r="L57" s="517">
        <f ca="1">IF(Tariff_SimCalculation!X12=1,J54,J54*AF113/AF110)</f>
        <v>2.7736328397447485</v>
      </c>
      <c r="M57" s="4">
        <f t="shared" ca="1" si="27"/>
        <v>2.3921715631192404</v>
      </c>
      <c r="N57" s="62"/>
      <c r="O57" s="4">
        <f t="shared" ca="1" si="28"/>
        <v>2.3921715631192404</v>
      </c>
      <c r="P57" s="66">
        <f ca="1">IF(Tariff_SimCalculation!$W$3&lt;&gt;1,IF(AND($N57&lt;&gt;1,$D57="Exit"),O57*O$89,O57),IF($N57&lt;&gt;1,O57*O$90,O57))</f>
        <v>2.7718051732026026</v>
      </c>
      <c r="Q57" s="4">
        <f ca="1">IF(Tariff_SimCalculation!$W$3&lt;&gt;1,IF(AND($N57&lt;&gt;1,$D57="Exit"),P57*P$89,P57),IF($N57&lt;&gt;1,P57*P$90,P57))</f>
        <v>2.7736328397447485</v>
      </c>
      <c r="R57" s="4">
        <f ca="1">IF(Tariff_SimCalculation!$W$3&lt;&gt;1,IF(AND($N57&lt;&gt;1,$D57="Exit"),Q57*Q$89,Q57),IF($N57&lt;&gt;1,Q57*Q$90,Q57))</f>
        <v>2.7736328397447485</v>
      </c>
      <c r="S57" s="155"/>
      <c r="T57" s="155"/>
      <c r="U57" s="513"/>
      <c r="W57" s="513"/>
      <c r="Y57" s="166"/>
      <c r="Z57" s="166"/>
      <c r="AA57" s="166"/>
      <c r="AD57" s="157"/>
      <c r="AE57" s="155"/>
      <c r="AF57" s="155"/>
      <c r="AG57" s="158"/>
      <c r="AH57" s="158"/>
      <c r="AK57" s="166"/>
      <c r="AL57" s="166"/>
      <c r="AM57" s="166"/>
      <c r="AR57" s="64"/>
      <c r="AS57" s="64"/>
    </row>
    <row r="58" spans="1:46">
      <c r="A58" s="59"/>
      <c r="C58" s="14" t="s">
        <v>0</v>
      </c>
      <c r="D58" t="s">
        <v>21</v>
      </c>
      <c r="E58" t="s">
        <v>31</v>
      </c>
      <c r="F58" t="s">
        <v>33</v>
      </c>
      <c r="G58" s="12">
        <f ca="1">OFFSET(Tariff_SimCalculation!O60,,$C$4-rpm_start_year)</f>
        <v>0</v>
      </c>
      <c r="H58" s="12">
        <f ca="1">OFFSET(Tariff_SimCalculation!R60,,$C$4-rpm_start_year)</f>
        <v>0</v>
      </c>
      <c r="I58" s="474">
        <f ca="1">'CWD 2026_V1'!J58</f>
        <v>2.7736328397447485</v>
      </c>
      <c r="J58" s="469">
        <f t="shared" ca="1" si="25"/>
        <v>2.7736328397447485</v>
      </c>
      <c r="K58" s="511" t="str">
        <f t="shared" si="26"/>
        <v/>
      </c>
      <c r="L58" s="517">
        <f ca="1">IF(Tariff_SimCalculation!X13=1,J55,J55*AF114/AF111)</f>
        <v>2.7736328397447485</v>
      </c>
      <c r="M58" s="4">
        <f t="shared" ca="1" si="27"/>
        <v>2.3921715631192404</v>
      </c>
      <c r="N58" s="62"/>
      <c r="O58" s="4">
        <f t="shared" ca="1" si="28"/>
        <v>2.3921715631192404</v>
      </c>
      <c r="P58" s="66">
        <f ca="1">IF(Tariff_SimCalculation!$W$3&lt;&gt;1,IF(AND($N58&lt;&gt;1,$D58="Exit"),O58*O$89,O58),IF($N58&lt;&gt;1,O58*O$90,O58))</f>
        <v>2.7718051732026026</v>
      </c>
      <c r="Q58" s="4">
        <f ca="1">IF(Tariff_SimCalculation!$W$3&lt;&gt;1,IF(AND($N58&lt;&gt;1,$D58="Exit"),P58*P$89,P58),IF($N58&lt;&gt;1,P58*P$90,P58))</f>
        <v>2.7736328397447485</v>
      </c>
      <c r="R58" s="4">
        <f ca="1">IF(Tariff_SimCalculation!$W$3&lt;&gt;1,IF(AND($N58&lt;&gt;1,$D58="Exit"),Q58*Q$89,Q58),IF($N58&lt;&gt;1,Q58*Q$90,Q58))</f>
        <v>2.7736328397447485</v>
      </c>
      <c r="S58" s="155"/>
      <c r="T58" s="155"/>
      <c r="U58" s="513"/>
      <c r="W58" s="513"/>
      <c r="Y58" s="156"/>
      <c r="Z58" s="156"/>
      <c r="AA58" s="156"/>
      <c r="AD58" s="157"/>
      <c r="AE58" s="155"/>
      <c r="AF58" s="155"/>
      <c r="AG58" s="158"/>
      <c r="AH58" s="158"/>
      <c r="AK58" s="156"/>
      <c r="AL58" s="156"/>
      <c r="AM58" s="156"/>
      <c r="AN58" s="156"/>
      <c r="AO58" s="156"/>
      <c r="AR58" s="64"/>
      <c r="AS58" s="64"/>
    </row>
    <row r="59" spans="1:46">
      <c r="A59" s="59"/>
      <c r="C59" s="14" t="s">
        <v>0</v>
      </c>
      <c r="D59" t="s">
        <v>21</v>
      </c>
      <c r="E59" t="s">
        <v>31</v>
      </c>
      <c r="F59" t="s">
        <v>35</v>
      </c>
      <c r="G59" s="12">
        <f ca="1">OFFSET(Tariff_SimCalculation!O61,,$C$4-rpm_start_year)</f>
        <v>4028400.0000000009</v>
      </c>
      <c r="H59" s="12">
        <f ca="1">OFFSET(Tariff_SimCalculation!R61,,$C$4-rpm_start_year)</f>
        <v>4028400.0000000009</v>
      </c>
      <c r="I59" s="474">
        <f ca="1">'CWD 2026_V1'!J59</f>
        <v>0</v>
      </c>
      <c r="J59" s="469">
        <f t="shared" ca="1" si="25"/>
        <v>0</v>
      </c>
      <c r="K59" s="511" t="str">
        <f t="shared" si="26"/>
        <v/>
      </c>
      <c r="L59" s="516"/>
      <c r="M59" s="4">
        <f t="shared" ca="1" si="27"/>
        <v>0</v>
      </c>
      <c r="N59" s="62"/>
      <c r="O59" s="4">
        <f t="shared" ca="1" si="28"/>
        <v>0</v>
      </c>
      <c r="P59" s="66">
        <f ca="1">IF(Tariff_SimCalculation!$W$3&lt;&gt;1,IF(AND($N59&lt;&gt;1,$D59="Exit"),O59*O$89,O59),IF($N59&lt;&gt;1,O59*O$90,O59))</f>
        <v>0</v>
      </c>
      <c r="Q59" s="4">
        <f ca="1">IF(Tariff_SimCalculation!$W$3&lt;&gt;1,IF(AND($N59&lt;&gt;1,$D59="Exit"),P59*P$89,P59),IF($N59&lt;&gt;1,P59*P$90,P59))</f>
        <v>0</v>
      </c>
      <c r="R59" s="4">
        <f ca="1">IF(Tariff_SimCalculation!$W$3&lt;&gt;1,IF(AND($N59&lt;&gt;1,$D59="Exit"),Q59*Q$89,Q59),IF($N59&lt;&gt;1,Q59*Q$90,Q59))</f>
        <v>0</v>
      </c>
      <c r="S59" s="155"/>
      <c r="T59" s="155"/>
      <c r="U59" s="513"/>
      <c r="W59" s="513"/>
      <c r="X59" s="319"/>
      <c r="Y59" s="317"/>
      <c r="Z59" s="317"/>
      <c r="AA59" s="157"/>
      <c r="AD59" s="157"/>
      <c r="AE59" s="155"/>
      <c r="AF59" s="155"/>
      <c r="AG59" s="158"/>
      <c r="AH59" s="158"/>
      <c r="AJ59" s="319"/>
      <c r="AK59" s="317"/>
      <c r="AL59" s="317"/>
      <c r="AM59" s="157"/>
      <c r="AN59" s="158"/>
      <c r="AO59" s="158"/>
      <c r="AR59" s="64"/>
      <c r="AS59" s="64"/>
    </row>
    <row r="60" spans="1:46">
      <c r="A60" s="59"/>
      <c r="C60" s="14" t="s">
        <v>0</v>
      </c>
      <c r="D60" s="1" t="s">
        <v>30</v>
      </c>
      <c r="E60" t="s">
        <v>31</v>
      </c>
      <c r="F60" t="s">
        <v>22</v>
      </c>
      <c r="G60" s="12">
        <f ca="1">OFFSET(Tariff_SimCalculation!O62,,$C$4-rpm_start_year)</f>
        <v>1975276</v>
      </c>
      <c r="H60" s="12">
        <f ca="1">OFFSET(Tariff_SimCalculation!R62,,$C$4-rpm_start_year)</f>
        <v>1975276</v>
      </c>
      <c r="I60" s="474">
        <f ca="1">'CWD 2026_V1'!J60</f>
        <v>3.7360454146105768</v>
      </c>
      <c r="J60" s="469">
        <f t="shared" ca="1" si="25"/>
        <v>3.7360454146105768</v>
      </c>
      <c r="K60" s="511" t="str">
        <f t="shared" si="26"/>
        <v/>
      </c>
      <c r="L60" s="516"/>
      <c r="M60" s="4">
        <f t="shared" ca="1" si="27"/>
        <v>3.2222223040075959</v>
      </c>
      <c r="N60" s="62"/>
      <c r="O60" s="4">
        <f t="shared" ca="1" si="28"/>
        <v>3.2222223040075959</v>
      </c>
      <c r="P60" s="66">
        <f ca="1">IF(Tariff_SimCalculation!$W$3&lt;&gt;1,IF(AND($N60&lt;&gt;1,$D60="Exit"),O60*O$89,O60),IF($N60&lt;&gt;1,O60*O$90,O60))</f>
        <v>3.7335835728316735</v>
      </c>
      <c r="Q60" s="4">
        <f ca="1">IF(Tariff_SimCalculation!$W$3&lt;&gt;1,IF(AND($N60&lt;&gt;1,$D60="Exit"),P60*P$89,P60),IF($N60&lt;&gt;1,P60*P$90,P60))</f>
        <v>3.7360454146105768</v>
      </c>
      <c r="R60" s="4">
        <f ca="1">IF(Tariff_SimCalculation!$W$3&lt;&gt;1,IF(AND($N60&lt;&gt;1,$D60="Exit"),Q60*Q$89,Q60),IF($N60&lt;&gt;1,Q60*Q$90,Q60))</f>
        <v>3.7360454146105768</v>
      </c>
      <c r="S60" s="155"/>
      <c r="T60" s="155"/>
      <c r="U60" s="513"/>
      <c r="W60" s="513"/>
      <c r="X60" s="319"/>
      <c r="Y60" s="317"/>
      <c r="Z60" s="317"/>
      <c r="AA60" s="157"/>
      <c r="AD60" s="157"/>
      <c r="AE60" s="155"/>
      <c r="AF60" s="155"/>
      <c r="AG60" s="158"/>
      <c r="AH60" s="158"/>
      <c r="AJ60" s="319"/>
      <c r="AK60" s="317"/>
      <c r="AL60" s="317"/>
      <c r="AM60" s="157"/>
      <c r="AN60" s="158"/>
      <c r="AO60" s="158"/>
      <c r="AQ60" s="1"/>
      <c r="AR60" s="64"/>
      <c r="AS60" s="64"/>
    </row>
    <row r="61" spans="1:46">
      <c r="A61" s="59"/>
      <c r="C61" s="14" t="s">
        <v>0</v>
      </c>
      <c r="D61" s="1" t="s">
        <v>30</v>
      </c>
      <c r="E61" t="s">
        <v>31</v>
      </c>
      <c r="F61" t="s">
        <v>23</v>
      </c>
      <c r="G61" s="12">
        <f ca="1">OFFSET(Tariff_SimCalculation!O63,,$C$4-rpm_start_year)</f>
        <v>3366967</v>
      </c>
      <c r="H61" s="12">
        <f ca="1">OFFSET(Tariff_SimCalculation!R63,,$C$4-rpm_start_year)</f>
        <v>3366967</v>
      </c>
      <c r="I61" s="474">
        <f ca="1">'CWD 2026_V1'!J61</f>
        <v>7.5586618182948762</v>
      </c>
      <c r="J61" s="469">
        <f t="shared" ca="1" si="25"/>
        <v>7.5586618182948762</v>
      </c>
      <c r="K61" s="511" t="str">
        <f t="shared" si="26"/>
        <v/>
      </c>
      <c r="L61" s="516"/>
      <c r="M61" s="4">
        <f t="shared" ca="1" si="27"/>
        <v>6.5191093780906435</v>
      </c>
      <c r="N61" s="62"/>
      <c r="O61" s="4">
        <f t="shared" ca="1" si="28"/>
        <v>6.5191093780906435</v>
      </c>
      <c r="P61" s="66">
        <f ca="1">IF(Tariff_SimCalculation!$W$3&lt;&gt;1,IF(AND($N61&lt;&gt;1,$D61="Exit"),O61*O$89,O61),IF($N61&lt;&gt;1,O61*O$90,O61))</f>
        <v>7.5536810893711568</v>
      </c>
      <c r="Q61" s="4">
        <f ca="1">IF(Tariff_SimCalculation!$W$3&lt;&gt;1,IF(AND($N61&lt;&gt;1,$D61="Exit"),P61*P$89,P61),IF($N61&lt;&gt;1,P61*P$90,P61))</f>
        <v>7.5586618182948762</v>
      </c>
      <c r="R61" s="4">
        <f ca="1">IF(Tariff_SimCalculation!$W$3&lt;&gt;1,IF(AND($N61&lt;&gt;1,$D61="Exit"),Q61*Q$89,Q61),IF($N61&lt;&gt;1,Q61*Q$90,Q61))</f>
        <v>7.5586618182948762</v>
      </c>
      <c r="S61" s="155"/>
      <c r="T61" s="155"/>
      <c r="U61" s="513"/>
      <c r="W61" s="513"/>
      <c r="Y61" s="277"/>
      <c r="Z61" s="277"/>
      <c r="AA61" s="318"/>
      <c r="AD61" s="157"/>
      <c r="AE61" s="155"/>
      <c r="AF61" s="155"/>
      <c r="AG61" s="158"/>
      <c r="AH61" s="158"/>
      <c r="AK61" s="277"/>
      <c r="AL61" s="277"/>
      <c r="AM61" s="318"/>
      <c r="AN61" s="158"/>
      <c r="AO61" s="158"/>
      <c r="AQ61" s="1"/>
      <c r="AR61" s="64"/>
      <c r="AS61" s="64"/>
    </row>
    <row r="62" spans="1:46">
      <c r="A62" s="59"/>
      <c r="C62" s="14" t="s">
        <v>0</v>
      </c>
      <c r="D62" s="1" t="s">
        <v>30</v>
      </c>
      <c r="E62" t="s">
        <v>31</v>
      </c>
      <c r="F62" t="s">
        <v>24</v>
      </c>
      <c r="G62" s="12">
        <f ca="1">OFFSET(Tariff_SimCalculation!O64,,$C$4-rpm_start_year)</f>
        <v>0</v>
      </c>
      <c r="H62" s="12">
        <f ca="1">OFFSET(Tariff_SimCalculation!R64,,$C$4-rpm_start_year)</f>
        <v>0</v>
      </c>
      <c r="I62" s="474">
        <f ca="1">'CWD 2026_V1'!J62</f>
        <v>7.5586618182948762</v>
      </c>
      <c r="J62" s="469">
        <f t="shared" ca="1" si="25"/>
        <v>7.5586618182948762</v>
      </c>
      <c r="K62" s="511" t="str">
        <f t="shared" si="26"/>
        <v/>
      </c>
      <c r="L62" s="516"/>
      <c r="M62" s="4">
        <f t="shared" ca="1" si="27"/>
        <v>6.5191093780906435</v>
      </c>
      <c r="N62" s="62"/>
      <c r="O62" s="4">
        <f t="shared" ca="1" si="28"/>
        <v>6.5191093780906435</v>
      </c>
      <c r="P62" s="66">
        <f ca="1">IF(Tariff_SimCalculation!$W$3&lt;&gt;1,IF(AND($N62&lt;&gt;1,$D62="Exit"),O62*O$89,O62),IF($N62&lt;&gt;1,O62*O$90,O62))</f>
        <v>7.5536810893711568</v>
      </c>
      <c r="Q62" s="4">
        <f ca="1">IF(Tariff_SimCalculation!$W$3&lt;&gt;1,IF(AND($N62&lt;&gt;1,$D62="Exit"),P62*P$89,P62),IF($N62&lt;&gt;1,P62*P$90,P62))</f>
        <v>7.5586618182948762</v>
      </c>
      <c r="R62" s="4">
        <f ca="1">IF(Tariff_SimCalculation!$W$3&lt;&gt;1,IF(AND($N62&lt;&gt;1,$D62="Exit"),Q62*Q$89,Q62),IF($N62&lt;&gt;1,Q62*Q$90,Q62))</f>
        <v>7.5586618182948762</v>
      </c>
      <c r="S62" s="155"/>
      <c r="T62" s="155"/>
      <c r="U62" s="513"/>
      <c r="W62" s="513"/>
      <c r="Y62" s="5"/>
      <c r="Z62" s="317"/>
      <c r="AA62" s="158"/>
      <c r="AD62" s="157"/>
      <c r="AE62" s="155"/>
      <c r="AF62" s="155"/>
      <c r="AG62" s="158"/>
      <c r="AH62" s="158"/>
      <c r="AK62" s="5"/>
      <c r="AL62" s="317"/>
      <c r="AM62" s="158"/>
      <c r="AN62" s="158"/>
      <c r="AO62" s="158"/>
      <c r="AQ62" s="1"/>
      <c r="AR62" s="64"/>
      <c r="AS62" s="64"/>
    </row>
    <row r="63" spans="1:46">
      <c r="A63" s="59"/>
      <c r="C63" s="14" t="s">
        <v>0</v>
      </c>
      <c r="D63" s="1" t="s">
        <v>30</v>
      </c>
      <c r="E63" t="s">
        <v>31</v>
      </c>
      <c r="F63" t="s">
        <v>39</v>
      </c>
      <c r="G63" s="12">
        <f ca="1">OFFSET(Tariff_SimCalculation!O65,,$C$4-rpm_start_year)</f>
        <v>3189496</v>
      </c>
      <c r="H63" s="12">
        <f ca="1">OFFSET(Tariff_SimCalculation!R65,,$C$4-rpm_start_year)</f>
        <v>3189496</v>
      </c>
      <c r="I63" s="474">
        <f ca="1">'CWD 2026_V1'!J63</f>
        <v>3.9674104358946902</v>
      </c>
      <c r="J63" s="469">
        <f t="shared" ca="1" si="25"/>
        <v>3.9674104358946902</v>
      </c>
      <c r="K63" s="511" t="str">
        <f t="shared" si="26"/>
        <v/>
      </c>
      <c r="L63" s="516"/>
      <c r="M63" s="4">
        <f t="shared" ca="1" si="27"/>
        <v>3.4217673976066711</v>
      </c>
      <c r="N63" s="62"/>
      <c r="O63" s="4">
        <f t="shared" ca="1" si="28"/>
        <v>3.4217673976066711</v>
      </c>
      <c r="P63" s="66">
        <f ca="1">IF(Tariff_SimCalculation!$W$3&lt;&gt;1,IF(AND($N63&lt;&gt;1,$D63="Exit"),O63*O$89,O63),IF($N63&lt;&gt;1,O63*O$90,O63))</f>
        <v>3.964796137704699</v>
      </c>
      <c r="Q63" s="4">
        <f ca="1">IF(Tariff_SimCalculation!$W$3&lt;&gt;1,IF(AND($N63&lt;&gt;1,$D63="Exit"),P63*P$89,P63),IF($N63&lt;&gt;1,P63*P$90,P63))</f>
        <v>3.9674104358946902</v>
      </c>
      <c r="R63" s="4">
        <f ca="1">IF(Tariff_SimCalculation!$W$3&lt;&gt;1,IF(AND($N63&lt;&gt;1,$D63="Exit"),Q63*Q$89,Q63),IF($N63&lt;&gt;1,Q63*Q$90,Q63))</f>
        <v>3.9674104358946902</v>
      </c>
      <c r="S63" s="155"/>
      <c r="T63" s="155"/>
      <c r="U63" s="513"/>
      <c r="W63" s="513"/>
      <c r="Y63" s="320"/>
      <c r="Z63" s="320"/>
      <c r="AA63" s="156"/>
      <c r="AD63" s="157"/>
      <c r="AE63" s="155"/>
      <c r="AF63" s="155"/>
      <c r="AG63" s="158"/>
      <c r="AH63" s="158"/>
      <c r="AK63" s="320"/>
      <c r="AL63" s="320"/>
      <c r="AM63" s="156"/>
      <c r="AN63" s="158"/>
      <c r="AO63" s="158"/>
      <c r="AQ63" s="1"/>
      <c r="AR63" s="64"/>
      <c r="AS63" s="64"/>
    </row>
    <row r="64" spans="1:46">
      <c r="A64" s="59"/>
      <c r="C64" s="14" t="s">
        <v>0</v>
      </c>
      <c r="D64" s="1" t="s">
        <v>30</v>
      </c>
      <c r="E64" t="s">
        <v>31</v>
      </c>
      <c r="F64" t="s">
        <v>34</v>
      </c>
      <c r="G64" s="12">
        <f ca="1">OFFSET(Tariff_SimCalculation!O66,,$C$4-rpm_start_year)</f>
        <v>0</v>
      </c>
      <c r="H64" s="12">
        <f ca="1">OFFSET(Tariff_SimCalculation!R66,,$C$4-rpm_start_year)</f>
        <v>0</v>
      </c>
      <c r="I64" s="474">
        <f ca="1">'CWD 2026_V1'!J64</f>
        <v>0</v>
      </c>
      <c r="J64" s="469">
        <f t="shared" ca="1" si="25"/>
        <v>0</v>
      </c>
      <c r="K64" s="511" t="str">
        <f t="shared" si="26"/>
        <v/>
      </c>
      <c r="L64" s="517">
        <f ca="1">J63*I121/H121</f>
        <v>3.7363562291045689</v>
      </c>
      <c r="M64" s="4">
        <f t="shared" ca="1" si="27"/>
        <v>0</v>
      </c>
      <c r="N64" s="62"/>
      <c r="O64" s="4">
        <f t="shared" ca="1" si="28"/>
        <v>0</v>
      </c>
      <c r="P64" s="66">
        <f ca="1">IF(Tariff_SimCalculation!$W$3&lt;&gt;1,IF(AND($N64&lt;&gt;1,$D64="Exit"),O64*O$89,O64),IF($N64&lt;&gt;1,O64*O$90,O64))</f>
        <v>0</v>
      </c>
      <c r="Q64" s="4">
        <f ca="1">IF(Tariff_SimCalculation!$W$3&lt;&gt;1,IF(AND($N64&lt;&gt;1,$D64="Exit"),P64*P$89,P64),IF($N64&lt;&gt;1,P64*P$90,P64))</f>
        <v>0</v>
      </c>
      <c r="R64" s="4">
        <f ca="1">IF(Tariff_SimCalculation!$W$3&lt;&gt;1,IF(AND($N64&lt;&gt;1,$D64="Exit"),Q64*Q$89,Q64),IF($N64&lt;&gt;1,Q64*Q$90,Q64))</f>
        <v>0</v>
      </c>
      <c r="S64" s="155"/>
      <c r="T64" s="155"/>
      <c r="U64" s="513"/>
      <c r="W64" s="513"/>
      <c r="X64" s="319"/>
      <c r="Y64" s="317"/>
      <c r="Z64" s="317"/>
      <c r="AA64" s="157"/>
      <c r="AD64" s="157"/>
      <c r="AE64" s="155"/>
      <c r="AF64" s="155"/>
      <c r="AG64" s="158"/>
      <c r="AH64" s="158"/>
      <c r="AJ64" s="319"/>
      <c r="AK64" s="317"/>
      <c r="AL64" s="317"/>
      <c r="AM64" s="157"/>
      <c r="AN64" s="158"/>
      <c r="AO64" s="264"/>
      <c r="AQ64" s="1"/>
      <c r="AR64" s="64"/>
      <c r="AS64" s="64"/>
    </row>
    <row r="65" spans="1:45">
      <c r="A65" s="59"/>
      <c r="C65" s="14" t="s">
        <v>0</v>
      </c>
      <c r="D65" s="1" t="s">
        <v>30</v>
      </c>
      <c r="E65" t="s">
        <v>31</v>
      </c>
      <c r="F65" t="s">
        <v>33</v>
      </c>
      <c r="G65" s="12">
        <f ca="1">OFFSET(Tariff_SimCalculation!O67,,$C$4-rpm_start_year)</f>
        <v>872840</v>
      </c>
      <c r="H65" s="12">
        <f ca="1">OFFSET(Tariff_SimCalculation!R67,,$C$4-rpm_start_year)</f>
        <v>872840</v>
      </c>
      <c r="I65" s="474">
        <f ca="1">'CWD 2026_V1'!J65</f>
        <v>6.5473368606946538</v>
      </c>
      <c r="J65" s="469">
        <f t="shared" ca="1" si="25"/>
        <v>6.5473368606946538</v>
      </c>
      <c r="K65" s="511" t="str">
        <f t="shared" si="26"/>
        <v/>
      </c>
      <c r="L65" s="516"/>
      <c r="M65" s="4">
        <f t="shared" ca="1" si="27"/>
        <v>5.6468732371071599</v>
      </c>
      <c r="N65" s="62"/>
      <c r="O65" s="4">
        <f t="shared" ca="1" si="28"/>
        <v>5.6468732371071599</v>
      </c>
      <c r="P65" s="66">
        <f ca="1">IF(Tariff_SimCalculation!$W$3&lt;&gt;1,IF(AND($N65&lt;&gt;1,$D65="Exit"),O65*O$89,O65),IF($N65&lt;&gt;1,O65*O$90,O65))</f>
        <v>6.5430225374904509</v>
      </c>
      <c r="Q65" s="4">
        <f ca="1">IF(Tariff_SimCalculation!$W$3&lt;&gt;1,IF(AND($N65&lt;&gt;1,$D65="Exit"),P65*P$89,P65),IF($N65&lt;&gt;1,P65*P$90,P65))</f>
        <v>6.5473368606946538</v>
      </c>
      <c r="R65" s="4">
        <f ca="1">IF(Tariff_SimCalculation!$W$3&lt;&gt;1,IF(AND($N65&lt;&gt;1,$D65="Exit"),Q65*Q$89,Q65),IF($N65&lt;&gt;1,Q65*Q$90,Q65))</f>
        <v>6.5473368606946538</v>
      </c>
      <c r="S65" s="155"/>
      <c r="T65" s="155"/>
      <c r="U65" s="513"/>
      <c r="W65" s="513"/>
      <c r="X65" s="319"/>
      <c r="Y65" s="317"/>
      <c r="Z65" s="317"/>
      <c r="AA65" s="157"/>
      <c r="AD65" s="157"/>
      <c r="AE65" s="155"/>
      <c r="AF65" s="155"/>
      <c r="AG65" s="158"/>
      <c r="AH65" s="158"/>
      <c r="AJ65" s="319"/>
      <c r="AK65" s="317"/>
      <c r="AL65" s="317"/>
      <c r="AM65" s="157"/>
      <c r="AN65" s="158"/>
      <c r="AO65" s="158"/>
      <c r="AQ65" s="1"/>
      <c r="AR65" s="64"/>
      <c r="AS65" s="64"/>
    </row>
    <row r="66" spans="1:45">
      <c r="A66" s="59"/>
      <c r="C66" s="14" t="s">
        <v>0</v>
      </c>
      <c r="D66" s="1" t="s">
        <v>30</v>
      </c>
      <c r="E66" t="s">
        <v>31</v>
      </c>
      <c r="F66" t="s">
        <v>35</v>
      </c>
      <c r="G66" s="12">
        <f ca="1">OFFSET(Tariff_SimCalculation!O68,,$C$4-rpm_start_year)</f>
        <v>21422795</v>
      </c>
      <c r="H66" s="12">
        <f ca="1">OFFSET(Tariff_SimCalculation!R68,,$C$4-rpm_start_year)</f>
        <v>21422795</v>
      </c>
      <c r="I66" s="474">
        <f ca="1">'CWD 2026_V1'!J66</f>
        <v>2.0916000000000001</v>
      </c>
      <c r="J66" s="469">
        <f ca="1">R66</f>
        <v>2.0916000000000001</v>
      </c>
      <c r="K66" s="511">
        <f ca="1">IF(N66=1,I66*(1+$O$51),"")</f>
        <v>2.0916000000000001</v>
      </c>
      <c r="L66" s="516"/>
      <c r="M66" s="4">
        <f ca="1">$N$132</f>
        <v>3.0355007791237676</v>
      </c>
      <c r="N66" s="62">
        <f>IF(Tariff_SimCalculation!F35&lt;&gt;"no",1,0)</f>
        <v>1</v>
      </c>
      <c r="O66" s="4">
        <f t="shared" ca="1" si="28"/>
        <v>2.0916000000000001</v>
      </c>
      <c r="P66" s="66">
        <f ca="1">IF(Tariff_SimCalculation!$W$3&lt;&gt;1,IF(AND($N66&lt;&gt;1,$D66="Exit"),O66*O$89,MIN(MAX(O66,O66*O$89),$I66*(1+$O$51))),IF($N66&lt;&gt;1,O66*O$90,MIN(MAX(O66,O66*O$90),$I66*(1+$O$51))))</f>
        <v>2.0916000000000001</v>
      </c>
      <c r="Q66" s="4">
        <f ca="1">IF(Tariff_SimCalculation!$W$3&lt;&gt;1,IF(AND($N66&lt;&gt;1,$D66="Exit"),P66*P$89,MIN(MAX(P66,P66*P$89),$I66*(1+$O$51))),IF($N66&lt;&gt;1,P66*P$90,MIN(MAX(P66,P66*P$90),$I66*(1+$O$51))))</f>
        <v>2.0916000000000001</v>
      </c>
      <c r="R66" s="4">
        <f ca="1">IF(Tariff_SimCalculation!$W$3&lt;&gt;1,IF(AND($N66&lt;&gt;1,$D66="Exit"),Q66*Q$89,MIN(MAX(Q66,Q66*Q$89),$I66*(1+$O$51))),IF($N66&lt;&gt;1,Q66*Q$90,MIN(MAX(Q66,Q66*Q$90),$I66*(1+$O$51))))</f>
        <v>2.0916000000000001</v>
      </c>
      <c r="S66" s="155"/>
      <c r="T66" s="155"/>
      <c r="U66" s="513"/>
      <c r="W66" s="513"/>
      <c r="Y66" s="277"/>
      <c r="Z66" s="277"/>
      <c r="AA66" s="318"/>
      <c r="AD66" s="157"/>
      <c r="AE66" s="155"/>
      <c r="AF66" s="155"/>
      <c r="AG66" s="158"/>
      <c r="AH66" s="158"/>
      <c r="AK66" s="277"/>
      <c r="AL66" s="277"/>
      <c r="AM66" s="318"/>
      <c r="AN66" s="158"/>
      <c r="AO66" s="158"/>
      <c r="AQ66" s="1"/>
      <c r="AR66" s="64"/>
      <c r="AS66" s="64"/>
    </row>
    <row r="67" spans="1:45">
      <c r="A67" s="59"/>
      <c r="C67" s="14" t="s">
        <v>0</v>
      </c>
      <c r="D67" t="s">
        <v>21</v>
      </c>
      <c r="E67" s="3" t="s">
        <v>32</v>
      </c>
      <c r="F67" t="s">
        <v>24</v>
      </c>
      <c r="G67" s="12">
        <f ca="1">OFFSET(Tariff_SimCalculation!O69,,$C$4-rpm_start_year)</f>
        <v>0</v>
      </c>
      <c r="H67" s="12">
        <f ca="1">OFFSET(Tariff_SimCalculation!R69,,$C$4-rpm_start_year)</f>
        <v>0</v>
      </c>
      <c r="I67" s="474">
        <f ca="1">'CWD 2026_V1'!J67</f>
        <v>2.4962695557702737</v>
      </c>
      <c r="J67" s="469">
        <f t="shared" ca="1" si="25"/>
        <v>2.4962695557702737</v>
      </c>
      <c r="K67" s="511" t="str">
        <f t="shared" si="26"/>
        <v/>
      </c>
      <c r="L67" s="516"/>
      <c r="M67" s="504">
        <f ca="1">IF(D67="Entry",INDEX($AS$109:$AT$118,MATCH(F67,$D$109:$D$118,0),IF(E67="FZK",1,2)),INDEX($E$132:$AC$133,IF(E67="FZK",1,2),MATCH(F67,$E$108:$AC$108,0)))</f>
        <v>2.1529544068073165</v>
      </c>
      <c r="N67" s="505"/>
      <c r="O67" s="506">
        <f ca="1">O55*(1-discount_DZK)</f>
        <v>2.1529544068073165</v>
      </c>
      <c r="P67" s="522">
        <f ca="1">P55*(1-discount_DZK)</f>
        <v>2.4946246558823422</v>
      </c>
      <c r="Q67" s="506">
        <f ca="1">Q55*(1-discount_DZK)</f>
        <v>2.4962695557702737</v>
      </c>
      <c r="R67" s="506">
        <f ca="1">R55*(1-discount_DZK)</f>
        <v>2.4962695557702737</v>
      </c>
      <c r="S67" s="155"/>
      <c r="T67" s="155"/>
      <c r="U67" s="513"/>
      <c r="W67" s="513"/>
      <c r="AD67" s="157"/>
      <c r="AE67" s="155"/>
      <c r="AF67" s="155"/>
      <c r="AG67" s="158"/>
      <c r="AH67" s="158"/>
      <c r="AR67" s="64"/>
      <c r="AS67" s="64"/>
    </row>
    <row r="68" spans="1:45">
      <c r="A68" s="59"/>
      <c r="C68" s="14" t="s">
        <v>0</v>
      </c>
      <c r="D68" s="1" t="s">
        <v>30</v>
      </c>
      <c r="E68" s="3" t="s">
        <v>32</v>
      </c>
      <c r="F68" t="s">
        <v>24</v>
      </c>
      <c r="G68" s="12">
        <f ca="1">OFFSET(Tariff_SimCalculation!O70,,$C$4-rpm_start_year)</f>
        <v>585865</v>
      </c>
      <c r="H68" s="12">
        <f ca="1">OFFSET(Tariff_SimCalculation!R70,,$C$4-rpm_start_year)</f>
        <v>585865</v>
      </c>
      <c r="I68" s="474">
        <f ca="1">'CWD 2026_V1'!J68</f>
        <v>6.8027956364653885</v>
      </c>
      <c r="J68" s="469">
        <f t="shared" ca="1" si="25"/>
        <v>6.8027956364653885</v>
      </c>
      <c r="K68" s="511" t="str">
        <f t="shared" si="26"/>
        <v/>
      </c>
      <c r="L68" s="516"/>
      <c r="M68" s="504">
        <f ca="1">IF(D68="Entry",INDEX($AS$109:$AT$118,MATCH(F68,$D$109:$D$118,0),IF(E68="FZK",1,2)),INDEX($E$132:$AC$133,IF(E68="FZK",1,2),MATCH(F68,$E$108:$AC$108,0)))</f>
        <v>5.8671984402815793</v>
      </c>
      <c r="N68" s="505"/>
      <c r="O68" s="506">
        <f ca="1">O62*(1-discount_DZK)</f>
        <v>5.8671984402815793</v>
      </c>
      <c r="P68" s="522">
        <f ca="1">P62*(1-discount_DZK)</f>
        <v>6.7983129804340416</v>
      </c>
      <c r="Q68" s="506">
        <f ca="1">Q62*(1-discount_DZK)</f>
        <v>6.8027956364653885</v>
      </c>
      <c r="R68" s="506">
        <f ca="1">R62*(1-discount_DZK)</f>
        <v>6.8027956364653885</v>
      </c>
      <c r="S68" s="155"/>
      <c r="T68" s="155"/>
      <c r="U68" s="513"/>
      <c r="W68" s="513"/>
      <c r="X68" s="319"/>
      <c r="Y68" s="317"/>
      <c r="AD68" s="157"/>
      <c r="AE68" s="155"/>
      <c r="AF68" s="155"/>
      <c r="AG68" s="158"/>
      <c r="AH68" s="158"/>
      <c r="AJ68" s="319"/>
      <c r="AK68" s="317"/>
      <c r="AQ68" s="1"/>
      <c r="AR68" s="64"/>
      <c r="AS68" s="64"/>
    </row>
    <row r="69" spans="1:45">
      <c r="A69" s="59"/>
      <c r="C69" s="14" t="s">
        <v>0</v>
      </c>
      <c r="D69" s="1" t="s">
        <v>30</v>
      </c>
      <c r="E69" s="3" t="s">
        <v>32</v>
      </c>
      <c r="F69" t="s">
        <v>35</v>
      </c>
      <c r="G69" s="12">
        <f ca="1">OFFSET(Tariff_SimCalculation!O71,,$C$4-rpm_start_year)</f>
        <v>4635629</v>
      </c>
      <c r="H69" s="12">
        <f ca="1">OFFSET(Tariff_SimCalculation!R71,,$C$4-rpm_start_year)</f>
        <v>4635629</v>
      </c>
      <c r="I69" s="474">
        <f ca="1">'CWD 2026_V1'!J69</f>
        <v>1.8824400000000001</v>
      </c>
      <c r="J69" s="469">
        <f t="shared" ca="1" si="25"/>
        <v>1.8824400000000001</v>
      </c>
      <c r="K69" s="511">
        <f t="shared" ca="1" si="26"/>
        <v>1.8824400000000001</v>
      </c>
      <c r="L69" s="516"/>
      <c r="M69" s="504">
        <f ca="1">$N$133</f>
        <v>2.7319507012113911</v>
      </c>
      <c r="N69" s="505">
        <f>N66</f>
        <v>1</v>
      </c>
      <c r="O69" s="506">
        <f ca="1">O66*(1-discount_DZK)</f>
        <v>1.8824400000000001</v>
      </c>
      <c r="P69" s="522">
        <f ca="1">P66*(1-discount_DZK)</f>
        <v>1.8824400000000001</v>
      </c>
      <c r="Q69" s="506">
        <f ca="1">Q66*(1-discount_DZK)</f>
        <v>1.8824400000000001</v>
      </c>
      <c r="R69" s="506">
        <f ca="1">R66*(1-discount_DZK)</f>
        <v>1.8824400000000001</v>
      </c>
      <c r="S69" s="155"/>
      <c r="T69" s="155"/>
      <c r="U69" s="513"/>
      <c r="W69" s="513"/>
      <c r="AD69" s="157"/>
      <c r="AE69" s="155"/>
      <c r="AF69" s="155"/>
      <c r="AG69" s="158"/>
      <c r="AH69" s="158"/>
      <c r="AQ69" s="1"/>
      <c r="AR69" s="64"/>
      <c r="AS69" s="64"/>
    </row>
    <row r="70" spans="1:45">
      <c r="A70" s="59"/>
      <c r="C70" s="14" t="s">
        <v>0</v>
      </c>
      <c r="D70" s="1" t="s">
        <v>30</v>
      </c>
      <c r="E70" s="3" t="s">
        <v>32</v>
      </c>
      <c r="F70" t="s">
        <v>35</v>
      </c>
      <c r="G70" s="12">
        <f ca="1">OFFSET(Tariff_SimCalculation!O72,,$C$4-rpm_start_year)</f>
        <v>2378663</v>
      </c>
      <c r="H70" s="12">
        <f ca="1">OFFSET(Tariff_SimCalculation!R72,,$C$4-rpm_start_year)</f>
        <v>2378663</v>
      </c>
      <c r="I70" s="474">
        <f ca="1">'CWD 2026_V1'!J70</f>
        <v>1.8824400000000001</v>
      </c>
      <c r="J70" s="469">
        <f t="shared" ca="1" si="25"/>
        <v>1.8824400000000001</v>
      </c>
      <c r="K70" s="511">
        <f t="shared" ca="1" si="26"/>
        <v>1.8824400000000001</v>
      </c>
      <c r="L70" s="516"/>
      <c r="M70" s="504">
        <f ca="1">$N$133</f>
        <v>2.7319507012113911</v>
      </c>
      <c r="N70" s="505">
        <f>N66</f>
        <v>1</v>
      </c>
      <c r="O70" s="506">
        <f ca="1">O66*(1-discount_DZK)</f>
        <v>1.8824400000000001</v>
      </c>
      <c r="P70" s="522">
        <f ca="1">P66*(1-discount_DZK)</f>
        <v>1.8824400000000001</v>
      </c>
      <c r="Q70" s="506">
        <f ca="1">Q66*(1-discount_DZK)</f>
        <v>1.8824400000000001</v>
      </c>
      <c r="R70" s="506">
        <f ca="1">R66*(1-discount_DZK)</f>
        <v>1.8824400000000001</v>
      </c>
      <c r="S70" s="155"/>
      <c r="T70" s="155"/>
      <c r="U70" s="513"/>
      <c r="W70" s="513"/>
      <c r="X70" s="332"/>
      <c r="Y70" s="331"/>
      <c r="AD70" s="157"/>
      <c r="AE70" s="155"/>
      <c r="AF70" s="155"/>
      <c r="AG70" s="158"/>
      <c r="AH70" s="158"/>
      <c r="AJ70" s="332"/>
      <c r="AK70" s="331"/>
      <c r="AQ70" s="1"/>
      <c r="AR70" s="64"/>
      <c r="AS70" s="64"/>
    </row>
    <row r="71" spans="1:45">
      <c r="A71" s="59"/>
      <c r="C71" s="14" t="s">
        <v>0</v>
      </c>
      <c r="D71" t="s">
        <v>21</v>
      </c>
      <c r="E71" t="s">
        <v>31</v>
      </c>
      <c r="F71" t="s">
        <v>56</v>
      </c>
      <c r="G71" s="12">
        <f ca="1">OFFSET(Tariff_SimCalculation!O73,,$C$4-rpm_start_year)</f>
        <v>0</v>
      </c>
      <c r="H71" s="12">
        <f ca="1">OFFSET(Tariff_SimCalculation!R73,,$C$4-rpm_start_year)</f>
        <v>0</v>
      </c>
      <c r="I71" s="474">
        <f ca="1">'CWD 2026_V1'!J71</f>
        <v>0</v>
      </c>
      <c r="J71" s="469">
        <f t="shared" ca="1" si="25"/>
        <v>0</v>
      </c>
      <c r="K71" s="511" t="str">
        <f t="shared" si="26"/>
        <v/>
      </c>
      <c r="L71" s="516"/>
      <c r="M71" s="4">
        <f ca="1">IF(D71="Entry",INDEX($AS$109:$AT$118,MATCH(F71,$D$109:$D$118,0),IF(E71="FZK",1,2)),INDEX($E$132:$AC$133,IF(E71="FZK",1,2),MATCH(F71,$E$108:$AC$108,0)))</f>
        <v>0</v>
      </c>
      <c r="N71" s="62"/>
      <c r="O71" s="4">
        <f t="shared" ca="1" si="28"/>
        <v>0</v>
      </c>
      <c r="P71" s="66">
        <f ca="1">IF(Tariff_SimCalculation!$W$3&lt;&gt;1,IF(AND($N71&lt;&gt;1,$D71="Exit"),O71*O$89,O71),IF($N71&lt;&gt;1,O71*O$90,O71))</f>
        <v>0</v>
      </c>
      <c r="Q71" s="4">
        <f ca="1">IF(Tariff_SimCalculation!$W$3&lt;&gt;1,IF(AND($N71&lt;&gt;1,$D71="Exit"),P71*P$89,P71),IF($N71&lt;&gt;1,P71*P$90,P71))</f>
        <v>0</v>
      </c>
      <c r="R71" s="4">
        <f ca="1">IF(Tariff_SimCalculation!$W$3&lt;&gt;1,IF(AND($N71&lt;&gt;1,$D71="Exit"),Q71*Q$89,Q71),IF($N71&lt;&gt;1,Q71*Q$90,Q71))</f>
        <v>0</v>
      </c>
      <c r="S71" s="155"/>
      <c r="T71" s="155"/>
      <c r="U71" s="513"/>
      <c r="W71" s="513"/>
      <c r="AD71" s="157"/>
      <c r="AE71" s="155"/>
      <c r="AF71" s="155"/>
      <c r="AG71" s="158"/>
      <c r="AH71" s="158"/>
      <c r="AR71" s="64"/>
      <c r="AS71" s="64"/>
    </row>
    <row r="72" spans="1:45">
      <c r="A72" s="59"/>
      <c r="C72" s="14" t="s">
        <v>0</v>
      </c>
      <c r="D72" t="s">
        <v>21</v>
      </c>
      <c r="E72" t="s">
        <v>31</v>
      </c>
      <c r="F72" t="s">
        <v>25</v>
      </c>
      <c r="G72" s="12">
        <f ca="1">OFFSET(Tariff_SimCalculation!O74,,$C$4-rpm_start_year)</f>
        <v>6629423</v>
      </c>
      <c r="H72" s="12">
        <f ca="1">OFFSET(Tariff_SimCalculation!R74,,$C$4-rpm_start_year)</f>
        <v>6629423</v>
      </c>
      <c r="I72" s="474">
        <f ca="1">'CWD 2026_V1'!J72</f>
        <v>0</v>
      </c>
      <c r="J72" s="469">
        <f t="shared" ca="1" si="25"/>
        <v>0</v>
      </c>
      <c r="K72" s="511" t="str">
        <f t="shared" si="26"/>
        <v/>
      </c>
      <c r="L72" s="516"/>
      <c r="M72" s="4">
        <f t="shared" ref="M72:M77" ca="1" si="29">IF(D72="Entry",INDEX($AS$109:$AT$118,MATCH(F72,$D$109:$D$118,0),IF(E72="FZK",1,2)),INDEX($E$132:$AC$133,IF(E72="FZK",1,2),MATCH(F72,$E$108:$AC$108,0)))</f>
        <v>0</v>
      </c>
      <c r="N72" s="62"/>
      <c r="O72" s="4">
        <f t="shared" ca="1" si="28"/>
        <v>0</v>
      </c>
      <c r="P72" s="66">
        <f ca="1">IF(Tariff_SimCalculation!$W$3&lt;&gt;1,IF(AND($N72&lt;&gt;1,$D72="Exit"),O72*O$89,O72),IF($N72&lt;&gt;1,O72*O$90,O72))</f>
        <v>0</v>
      </c>
      <c r="Q72" s="4">
        <f ca="1">IF(Tariff_SimCalculation!$W$3&lt;&gt;1,IF(AND($N72&lt;&gt;1,$D72="Exit"),P72*P$89,P72),IF($N72&lt;&gt;1,P72*P$90,P72))</f>
        <v>0</v>
      </c>
      <c r="R72" s="4">
        <f ca="1">IF(Tariff_SimCalculation!$W$3&lt;&gt;1,IF(AND($N72&lt;&gt;1,$D72="Exit"),Q72*Q$89,Q72),IF($N72&lt;&gt;1,Q72*Q$90,Q72))</f>
        <v>0</v>
      </c>
      <c r="S72" s="155"/>
      <c r="T72" s="155"/>
      <c r="U72" s="513"/>
      <c r="W72" s="513"/>
      <c r="AD72" s="157"/>
      <c r="AE72" s="155"/>
      <c r="AF72" s="155"/>
      <c r="AG72" s="158"/>
      <c r="AH72" s="158"/>
      <c r="AR72" s="64"/>
      <c r="AS72" s="64"/>
    </row>
    <row r="73" spans="1:45">
      <c r="A73" s="59"/>
      <c r="C73" s="14" t="s">
        <v>0</v>
      </c>
      <c r="D73" s="1" t="s">
        <v>30</v>
      </c>
      <c r="E73" t="s">
        <v>31</v>
      </c>
      <c r="F73" t="s">
        <v>56</v>
      </c>
      <c r="G73" s="12">
        <f ca="1">OFFSET(Tariff_SimCalculation!O75,,$C$4-rpm_start_year)</f>
        <v>0</v>
      </c>
      <c r="H73" s="12">
        <f ca="1">OFFSET(Tariff_SimCalculation!R75,,$C$4-rpm_start_year)</f>
        <v>0</v>
      </c>
      <c r="I73" s="474">
        <f ca="1">'CWD 2026_V1'!J73</f>
        <v>3.7793309091474381</v>
      </c>
      <c r="J73" s="469">
        <f t="shared" ca="1" si="25"/>
        <v>3.7793309091474381</v>
      </c>
      <c r="K73" s="511" t="str">
        <f t="shared" si="26"/>
        <v/>
      </c>
      <c r="L73" s="13"/>
      <c r="M73" s="4">
        <f t="shared" ca="1" si="29"/>
        <v>3.2595546890453218</v>
      </c>
      <c r="N73" s="62"/>
      <c r="O73" s="4">
        <f t="shared" ca="1" si="28"/>
        <v>3.2595546890453218</v>
      </c>
      <c r="P73" s="66">
        <f ca="1">IF(Tariff_SimCalculation!$W$3&lt;&gt;1,IF(AND($N73&lt;&gt;1,$D73="Exit"),O73*O$89,O73),IF($N73&lt;&gt;1,O73*O$90,O73))</f>
        <v>3.7768405446855784</v>
      </c>
      <c r="Q73" s="4">
        <f ca="1">IF(Tariff_SimCalculation!$W$3&lt;&gt;1,IF(AND($N73&lt;&gt;1,$D73="Exit"),P73*P$89,P73),IF($N73&lt;&gt;1,P73*P$90,P73))</f>
        <v>3.7793309091474381</v>
      </c>
      <c r="R73" s="4">
        <f ca="1">IF(Tariff_SimCalculation!$W$3&lt;&gt;1,IF(AND($N73&lt;&gt;1,$D73="Exit"),Q73*Q$89,Q73),IF($N73&lt;&gt;1,Q73*Q$90,Q73))</f>
        <v>3.7793309091474381</v>
      </c>
      <c r="S73" s="155"/>
      <c r="T73" s="155"/>
      <c r="U73" s="513"/>
      <c r="W73" s="513"/>
      <c r="AD73" s="157"/>
      <c r="AE73" s="155"/>
      <c r="AF73" s="155"/>
      <c r="AG73" s="158"/>
      <c r="AH73" s="158"/>
      <c r="AQ73" s="1"/>
      <c r="AR73" s="64"/>
      <c r="AS73" s="64"/>
    </row>
    <row r="74" spans="1:45">
      <c r="A74" s="59"/>
      <c r="C74" s="56" t="s">
        <v>0</v>
      </c>
      <c r="D74" s="50" t="s">
        <v>30</v>
      </c>
      <c r="E74" s="49" t="s">
        <v>31</v>
      </c>
      <c r="F74" s="49" t="s">
        <v>25</v>
      </c>
      <c r="G74" s="467">
        <f ca="1">OFFSET(Tariff_SimCalculation!O76,,$C$4-rpm_start_year)</f>
        <v>6629423</v>
      </c>
      <c r="H74" s="467">
        <f ca="1">OFFSET(Tariff_SimCalculation!R76,,$C$4-rpm_start_year)</f>
        <v>6629423</v>
      </c>
      <c r="I74" s="475">
        <f ca="1">'CWD 2026_V1'!J74</f>
        <v>1.8680227073052884</v>
      </c>
      <c r="J74" s="524">
        <f t="shared" ca="1" si="25"/>
        <v>1.8680227073052884</v>
      </c>
      <c r="K74" s="511" t="str">
        <f t="shared" si="26"/>
        <v/>
      </c>
      <c r="L74" s="13"/>
      <c r="M74" s="4">
        <f t="shared" ca="1" si="29"/>
        <v>1.611111152003798</v>
      </c>
      <c r="N74" s="62"/>
      <c r="O74" s="4">
        <f t="shared" ca="1" si="28"/>
        <v>1.611111152003798</v>
      </c>
      <c r="P74" s="66">
        <f ca="1">IF(Tariff_SimCalculation!$W$3&lt;&gt;1,IF(AND($N74&lt;&gt;1,$D74="Exit"),O74*O$89,O74),IF($N74&lt;&gt;1,O74*O$90,O74))</f>
        <v>1.8667917864158368</v>
      </c>
      <c r="Q74" s="4">
        <f ca="1">IF(Tariff_SimCalculation!$W$3&lt;&gt;1,IF(AND($N74&lt;&gt;1,$D74="Exit"),P74*P$89,P74),IF($N74&lt;&gt;1,P74*P$90,P74))</f>
        <v>1.8680227073052884</v>
      </c>
      <c r="R74" s="4">
        <f ca="1">IF(Tariff_SimCalculation!$W$3&lt;&gt;1,IF(AND($N74&lt;&gt;1,$D74="Exit"),Q74*Q$89,Q74),IF($N74&lt;&gt;1,Q74*Q$90,Q74))</f>
        <v>1.8680227073052884</v>
      </c>
      <c r="S74" s="155"/>
      <c r="T74" s="155"/>
      <c r="U74" s="513"/>
      <c r="W74" s="513"/>
      <c r="AD74" s="157"/>
      <c r="AE74" s="155"/>
      <c r="AF74" s="155"/>
      <c r="AG74" s="158"/>
      <c r="AH74" s="158"/>
      <c r="AQ74" s="1"/>
      <c r="AR74" s="64"/>
      <c r="AS74" s="64"/>
    </row>
    <row r="75" spans="1:45">
      <c r="A75" s="59"/>
      <c r="C75" s="1" t="s">
        <v>13</v>
      </c>
      <c r="D75" t="s">
        <v>21</v>
      </c>
      <c r="E75" t="s">
        <v>31</v>
      </c>
      <c r="F75" t="s">
        <v>22</v>
      </c>
      <c r="G75" s="12">
        <f ca="1">OFFSET(Tariff_SimCalculation!O77,,$C$4-rpm_start_year)</f>
        <v>8239697</v>
      </c>
      <c r="H75" s="12">
        <f ca="1">OFFSET(Tariff_SimCalculation!R77,,$C$4-rpm_start_year)</f>
        <v>8239697</v>
      </c>
      <c r="I75" s="474">
        <f ca="1">'CWD 2026_V1'!J75</f>
        <v>2.7736328397447485</v>
      </c>
      <c r="J75" s="469">
        <f t="shared" ca="1" si="25"/>
        <v>2.7736328397447485</v>
      </c>
      <c r="K75" s="511" t="str">
        <f t="shared" si="26"/>
        <v/>
      </c>
      <c r="L75" s="13"/>
      <c r="M75" s="4">
        <f t="shared" ca="1" si="29"/>
        <v>2.3921715631192404</v>
      </c>
      <c r="N75" s="62"/>
      <c r="O75" s="4">
        <f t="shared" ca="1" si="28"/>
        <v>2.3921715631192404</v>
      </c>
      <c r="P75" s="66">
        <f ca="1">IF(Tariff_SimCalculation!$W$3&lt;&gt;1,IF(AND($N75&lt;&gt;1,$D75="Exit"),O75*O$89,O75),IF($N75&lt;&gt;1,O75*O$90,O75))</f>
        <v>2.7718051732026026</v>
      </c>
      <c r="Q75" s="4">
        <f ca="1">IF(Tariff_SimCalculation!$W$3&lt;&gt;1,IF(AND($N75&lt;&gt;1,$D75="Exit"),P75*P$89,P75),IF($N75&lt;&gt;1,P75*P$90,P75))</f>
        <v>2.7736328397447485</v>
      </c>
      <c r="R75" s="4">
        <f ca="1">IF(Tariff_SimCalculation!$W$3&lt;&gt;1,IF(AND($N75&lt;&gt;1,$D75="Exit"),Q75*Q$89,Q75),IF($N75&lt;&gt;1,Q75*Q$90,Q75))</f>
        <v>2.7736328397447485</v>
      </c>
      <c r="S75" s="155"/>
      <c r="T75" s="155"/>
      <c r="U75" s="513"/>
      <c r="W75" s="513"/>
      <c r="AD75" s="157"/>
      <c r="AE75" s="155"/>
      <c r="AF75" s="155"/>
      <c r="AG75" s="158"/>
      <c r="AH75" s="158"/>
      <c r="AR75" s="64"/>
      <c r="AS75" s="64"/>
    </row>
    <row r="76" spans="1:45">
      <c r="A76" s="59"/>
      <c r="C76" s="1" t="s">
        <v>13</v>
      </c>
      <c r="D76" t="s">
        <v>21</v>
      </c>
      <c r="E76" t="s">
        <v>31</v>
      </c>
      <c r="F76" t="s">
        <v>20</v>
      </c>
      <c r="G76" s="12">
        <f ca="1">OFFSET(Tariff_SimCalculation!O78,,$C$4-rpm_start_year)</f>
        <v>6234139</v>
      </c>
      <c r="H76" s="12">
        <f ca="1">OFFSET(Tariff_SimCalculation!R78,,$C$4-rpm_start_year)</f>
        <v>6234139</v>
      </c>
      <c r="I76" s="474">
        <f ca="1">'CWD 2026_V1'!J76</f>
        <v>2.7736328397447485</v>
      </c>
      <c r="J76" s="469">
        <f t="shared" ca="1" si="25"/>
        <v>2.7736328397447485</v>
      </c>
      <c r="K76" s="511" t="str">
        <f t="shared" si="26"/>
        <v/>
      </c>
      <c r="L76" s="13"/>
      <c r="M76" s="4">
        <f t="shared" ca="1" si="29"/>
        <v>2.3921715631192404</v>
      </c>
      <c r="N76" s="62"/>
      <c r="O76" s="4">
        <f t="shared" ca="1" si="28"/>
        <v>2.3921715631192404</v>
      </c>
      <c r="P76" s="66">
        <f ca="1">IF(Tariff_SimCalculation!$W$3&lt;&gt;1,IF(AND($N76&lt;&gt;1,$D76="Exit"),O76*O$89,O76),IF($N76&lt;&gt;1,O76*O$90,O76))</f>
        <v>2.7718051732026026</v>
      </c>
      <c r="Q76" s="4">
        <f ca="1">IF(Tariff_SimCalculation!$W$3&lt;&gt;1,IF(AND($N76&lt;&gt;1,$D76="Exit"),P76*P$89,P76),IF($N76&lt;&gt;1,P76*P$90,P76))</f>
        <v>2.7736328397447485</v>
      </c>
      <c r="R76" s="4">
        <f ca="1">IF(Tariff_SimCalculation!$W$3&lt;&gt;1,IF(AND($N76&lt;&gt;1,$D76="Exit"),Q76*Q$89,Q76),IF($N76&lt;&gt;1,Q76*Q$90,Q76))</f>
        <v>2.7736328397447485</v>
      </c>
      <c r="S76" s="155"/>
      <c r="T76" s="155"/>
      <c r="U76" s="513"/>
      <c r="W76" s="513"/>
      <c r="AD76" s="157"/>
      <c r="AE76" s="155"/>
      <c r="AF76" s="155"/>
      <c r="AG76" s="158"/>
      <c r="AH76" s="158"/>
      <c r="AR76" s="64"/>
      <c r="AS76" s="64"/>
    </row>
    <row r="77" spans="1:45">
      <c r="A77" s="59"/>
      <c r="C77" s="1" t="s">
        <v>13</v>
      </c>
      <c r="D77" s="1" t="s">
        <v>30</v>
      </c>
      <c r="E77" t="s">
        <v>31</v>
      </c>
      <c r="F77" t="s">
        <v>20</v>
      </c>
      <c r="G77" s="12">
        <f ca="1">OFFSET(Tariff_SimCalculation!O79,,$C$4-rpm_start_year)</f>
        <v>6683747</v>
      </c>
      <c r="H77" s="12">
        <f ca="1">OFFSET(Tariff_SimCalculation!R79,,$C$4-rpm_start_year)</f>
        <v>6683747</v>
      </c>
      <c r="I77" s="474">
        <f ca="1">'CWD 2026_V1'!J77</f>
        <v>10.520923454391017</v>
      </c>
      <c r="J77" s="469">
        <f t="shared" ca="1" si="25"/>
        <v>10.520923454391017</v>
      </c>
      <c r="K77" s="511" t="str">
        <f t="shared" si="26"/>
        <v/>
      </c>
      <c r="L77" s="13"/>
      <c r="M77" s="4">
        <f t="shared" ca="1" si="29"/>
        <v>9.0739673776232692</v>
      </c>
      <c r="N77" s="62"/>
      <c r="O77" s="4">
        <f t="shared" ca="1" si="28"/>
        <v>9.0739673776232692</v>
      </c>
      <c r="P77" s="66">
        <f ca="1">IF(Tariff_SimCalculation!$W$3&lt;&gt;1,IF(AND($N77&lt;&gt;1,$D77="Exit"),O77*O$89,O77),IF($N77&lt;&gt;1,O77*O$90,O77))</f>
        <v>10.513990763259541</v>
      </c>
      <c r="Q77" s="4">
        <f ca="1">IF(Tariff_SimCalculation!$W$3&lt;&gt;1,IF(AND($N77&lt;&gt;1,$D77="Exit"),P77*P$89,P77),IF($N77&lt;&gt;1,P77*P$90,P77))</f>
        <v>10.520923454391017</v>
      </c>
      <c r="R77" s="4">
        <f ca="1">IF(Tariff_SimCalculation!$W$3&lt;&gt;1,IF(AND($N77&lt;&gt;1,$D77="Exit"),Q77*Q$89,Q77),IF($N77&lt;&gt;1,Q77*Q$90,Q77))</f>
        <v>10.520923454391017</v>
      </c>
      <c r="S77" s="155"/>
      <c r="T77" s="155"/>
      <c r="U77" s="513"/>
      <c r="W77" s="513"/>
      <c r="AD77" s="157"/>
      <c r="AE77" s="155"/>
      <c r="AF77" s="155"/>
      <c r="AG77" s="158"/>
      <c r="AH77" s="158"/>
      <c r="AQ77" s="1"/>
      <c r="AR77" s="64"/>
      <c r="AS77" s="64"/>
    </row>
    <row r="78" spans="1:45">
      <c r="A78" s="59"/>
      <c r="C78" s="1" t="s">
        <v>13</v>
      </c>
      <c r="D78" s="1" t="s">
        <v>30</v>
      </c>
      <c r="E78" t="s">
        <v>31</v>
      </c>
      <c r="F78" t="s">
        <v>35</v>
      </c>
      <c r="G78" s="12">
        <f ca="1">OFFSET(Tariff_SimCalculation!O80,,$C$4-rpm_start_year)</f>
        <v>3562671.9999999963</v>
      </c>
      <c r="H78" s="12">
        <f ca="1">OFFSET(Tariff_SimCalculation!R80,,$C$4-rpm_start_year)</f>
        <v>3562671.9999999963</v>
      </c>
      <c r="I78" s="474">
        <f ca="1">'CWD 2026_V1'!J78</f>
        <v>2.0916000000000001</v>
      </c>
      <c r="J78" s="469">
        <f ca="1">R78</f>
        <v>2.0916000000000001</v>
      </c>
      <c r="K78" s="511">
        <f t="shared" ca="1" si="26"/>
        <v>2.0916000000000001</v>
      </c>
      <c r="L78" s="13"/>
      <c r="M78" s="508">
        <f ca="1">$N$132</f>
        <v>3.0355007791237676</v>
      </c>
      <c r="N78" s="509">
        <f>N66</f>
        <v>1</v>
      </c>
      <c r="O78" s="508">
        <f ca="1">O66</f>
        <v>2.0916000000000001</v>
      </c>
      <c r="P78" s="523">
        <f ca="1">P66</f>
        <v>2.0916000000000001</v>
      </c>
      <c r="Q78" s="508">
        <f ca="1">Q66</f>
        <v>2.0916000000000001</v>
      </c>
      <c r="R78" s="508">
        <f ca="1">R66</f>
        <v>2.0916000000000001</v>
      </c>
      <c r="S78" s="155"/>
      <c r="T78" s="155"/>
      <c r="U78" s="513"/>
      <c r="W78" s="513"/>
      <c r="AD78" s="157"/>
      <c r="AE78" s="155"/>
      <c r="AF78" s="155"/>
      <c r="AG78" s="158"/>
      <c r="AH78" s="158"/>
      <c r="AQ78" s="1"/>
      <c r="AR78" s="64"/>
      <c r="AS78" s="64"/>
    </row>
    <row r="79" spans="1:45">
      <c r="A79" s="59"/>
      <c r="C79" s="1" t="s">
        <v>13</v>
      </c>
      <c r="D79" s="1" t="s">
        <v>30</v>
      </c>
      <c r="E79" t="s">
        <v>31</v>
      </c>
      <c r="F79" t="s">
        <v>36</v>
      </c>
      <c r="G79" s="12">
        <f ca="1">OFFSET(Tariff_SimCalculation!O81,,$C$4-rpm_start_year)</f>
        <v>471870.99999999959</v>
      </c>
      <c r="H79" s="12">
        <f ca="1">OFFSET(Tariff_SimCalculation!R81,,$C$4-rpm_start_year)</f>
        <v>471870.99999999959</v>
      </c>
      <c r="I79" s="474">
        <f ca="1">'CWD 2026_V1'!J79</f>
        <v>7.680818605912572</v>
      </c>
      <c r="J79" s="469">
        <f t="shared" ca="1" si="25"/>
        <v>7.680818605912572</v>
      </c>
      <c r="K79" s="511">
        <f ca="1">IF(N79=1,I79*(1+$O$51),"")</f>
        <v>7.680818605912572</v>
      </c>
      <c r="L79" s="13"/>
      <c r="M79" s="4">
        <f ca="1">$Z$132</f>
        <v>6.8844218061702218</v>
      </c>
      <c r="N79" s="62">
        <f>+N66</f>
        <v>1</v>
      </c>
      <c r="O79" s="4">
        <f ca="1">IF(Tariff_SimCalculation!$W$4=1,O66,IF(N79=1,MIN(M$79,I79*(1+$O$51)),M79))</f>
        <v>6.8844218061702218</v>
      </c>
      <c r="P79" s="66">
        <f ca="1">IF(Tariff_SimCalculation!$W$4=1,O78,IF(Tariff_SimCalculation!$W$3&lt;&gt;1,IF(AND($N79&lt;&gt;1,$D79="Exit"),O79*O$89,MIN(MAX(O79,O79*O$89),$I79*(1+$O$51))),IF($N79&lt;&gt;1,O79*O$90,MIN(MAX(O79,O79*O$90),$I79*(1+$O$51)))))</f>
        <v>7.680818605912572</v>
      </c>
      <c r="Q79" s="4">
        <f ca="1">IF(Tariff_SimCalculation!$W$4=1,P78,IF(Tariff_SimCalculation!$W$3&lt;&gt;1,IF(AND($N79&lt;&gt;1,$D79="Exit"),P79*P$89,MIN(MAX(P79,P79*P$89),$I79*(1+$O$51))),IF($N79&lt;&gt;1,P79*P$90,MIN(MAX(P79,P79*P$90),$I79*(1+$O$51)))))</f>
        <v>7.680818605912572</v>
      </c>
      <c r="R79" s="4">
        <f ca="1">IF(Tariff_SimCalculation!$W$4=1,Q78,IF(Tariff_SimCalculation!$W$3&lt;&gt;1,IF(AND($N79&lt;&gt;1,$D79="Exit"),Q79*Q$89,MIN(MAX(Q79,Q79*Q$89),$I79*(1+$O$51))),IF($N79&lt;&gt;1,Q79*Q$90,MIN(MAX(Q79,Q79*Q$90),$I79*(1+$O$51)))))</f>
        <v>7.680818605912572</v>
      </c>
      <c r="S79" s="155"/>
      <c r="T79" s="155"/>
      <c r="U79" s="513"/>
      <c r="W79" s="513"/>
      <c r="AD79" s="157"/>
      <c r="AE79" s="155"/>
      <c r="AF79" s="155"/>
      <c r="AG79" s="158"/>
      <c r="AH79" s="158"/>
      <c r="AQ79" s="1"/>
      <c r="AR79" s="64"/>
      <c r="AS79" s="64"/>
    </row>
    <row r="80" spans="1:45">
      <c r="A80" s="59"/>
      <c r="C80" s="50" t="s">
        <v>13</v>
      </c>
      <c r="D80" s="49" t="s">
        <v>21</v>
      </c>
      <c r="E80" s="51" t="s">
        <v>32</v>
      </c>
      <c r="F80" s="49" t="s">
        <v>20</v>
      </c>
      <c r="G80" s="467">
        <f ca="1">OFFSET(Tariff_SimCalculation!O82,,$C$4-rpm_start_year)</f>
        <v>521331</v>
      </c>
      <c r="H80" s="467">
        <f ca="1">OFFSET(Tariff_SimCalculation!R82,,$C$4-rpm_start_year)</f>
        <v>521331</v>
      </c>
      <c r="I80" s="475">
        <f ca="1">'CWD 2026_V1'!J80</f>
        <v>2.4962695557702737</v>
      </c>
      <c r="J80" s="524">
        <f t="shared" ca="1" si="25"/>
        <v>2.4962695557702737</v>
      </c>
      <c r="K80" s="511" t="str">
        <f t="shared" si="26"/>
        <v/>
      </c>
      <c r="L80" s="13"/>
      <c r="M80" s="504">
        <f ca="1">IF(D80="Entry",INDEX($AS$109:$AT$118,MATCH(F80,$D$109:$D$118,0),IF(E80="FZK",1,2)),INDEX($E$132:$AC$133,IF(E80="FZK",1,2),MATCH(F80,$E$108:$AC$108,0)))</f>
        <v>2.1529544068073165</v>
      </c>
      <c r="N80" s="505"/>
      <c r="O80" s="506">
        <f ca="1">O76*(1-discount_DZK)</f>
        <v>2.1529544068073165</v>
      </c>
      <c r="P80" s="522">
        <f ca="1">P76*(1-discount_DZK)</f>
        <v>2.4946246558823422</v>
      </c>
      <c r="Q80" s="506">
        <f ca="1">Q76*(1-discount_DZK)</f>
        <v>2.4962695557702737</v>
      </c>
      <c r="R80" s="506">
        <f ca="1">R76*(1-discount_DZK)</f>
        <v>2.4962695557702737</v>
      </c>
      <c r="S80" s="155"/>
      <c r="T80" s="155"/>
      <c r="U80" s="513"/>
      <c r="W80" s="513"/>
      <c r="AD80" s="157"/>
      <c r="AE80" s="155"/>
      <c r="AF80" s="155"/>
      <c r="AG80" s="158"/>
      <c r="AH80" s="158"/>
      <c r="AR80" s="64"/>
      <c r="AS80" s="64"/>
    </row>
    <row r="81" spans="3:34">
      <c r="C81" s="232" t="s">
        <v>0</v>
      </c>
      <c r="D81" s="58" t="s">
        <v>30</v>
      </c>
      <c r="E81" s="148" t="s">
        <v>31</v>
      </c>
      <c r="F81" s="148" t="s">
        <v>40</v>
      </c>
      <c r="G81" s="12">
        <f ca="1">OFFSET(Tariff_SimCalculation!O83,,$C$4-rpm_start_year)</f>
        <v>0</v>
      </c>
      <c r="H81" s="12">
        <f ca="1">OFFSET(Tariff_SimCalculation!R83,,$C$4-rpm_start_year)</f>
        <v>0</v>
      </c>
      <c r="I81" s="148"/>
      <c r="J81" s="470">
        <f ca="1">J66</f>
        <v>2.0916000000000001</v>
      </c>
      <c r="K81" s="5"/>
      <c r="L81" s="510"/>
      <c r="M81" s="149"/>
      <c r="O81" s="441"/>
      <c r="R81" s="157"/>
      <c r="S81" s="155"/>
      <c r="T81" s="155"/>
      <c r="U81" s="512"/>
      <c r="W81" s="512"/>
      <c r="AD81" s="157"/>
      <c r="AE81" s="155"/>
      <c r="AF81" s="155"/>
      <c r="AG81" s="155"/>
      <c r="AH81" s="155"/>
    </row>
    <row r="82" spans="3:34">
      <c r="C82" s="232" t="s">
        <v>0</v>
      </c>
      <c r="D82" s="58" t="s">
        <v>30</v>
      </c>
      <c r="E82" s="59" t="s">
        <v>32</v>
      </c>
      <c r="F82" s="148" t="s">
        <v>40</v>
      </c>
      <c r="G82" s="12">
        <f ca="1">OFFSET(Tariff_SimCalculation!O84,,$C$4-rpm_start_year)</f>
        <v>4635629</v>
      </c>
      <c r="H82" s="12">
        <f ca="1">OFFSET(Tariff_SimCalculation!R84,,$C$4-rpm_start_year)</f>
        <v>4635629</v>
      </c>
      <c r="I82" s="148"/>
      <c r="J82" s="470">
        <f ca="1">J69</f>
        <v>1.8824400000000001</v>
      </c>
      <c r="K82" s="5"/>
      <c r="L82" s="510"/>
      <c r="R82" s="157"/>
      <c r="S82" s="155"/>
      <c r="T82" s="155"/>
      <c r="U82" s="155"/>
      <c r="V82" s="155"/>
      <c r="AD82" s="157"/>
      <c r="AE82" s="155"/>
      <c r="AF82" s="155"/>
      <c r="AG82" s="155"/>
      <c r="AH82" s="155"/>
    </row>
    <row r="83" spans="3:34">
      <c r="C83" s="232" t="s">
        <v>0</v>
      </c>
      <c r="D83" s="58" t="s">
        <v>30</v>
      </c>
      <c r="E83" s="148" t="s">
        <v>31</v>
      </c>
      <c r="F83" s="148" t="s">
        <v>41</v>
      </c>
      <c r="G83" s="12">
        <f ca="1">OFFSET(Tariff_SimCalculation!O85,,$C$4-rpm_start_year)</f>
        <v>0</v>
      </c>
      <c r="H83" s="12">
        <f ca="1">OFFSET(Tariff_SimCalculation!R85,,$C$4-rpm_start_year)</f>
        <v>0</v>
      </c>
      <c r="I83" s="148"/>
      <c r="J83" s="470">
        <f ca="1">$J$81</f>
        <v>2.0916000000000001</v>
      </c>
      <c r="K83" s="5"/>
      <c r="L83" s="510"/>
      <c r="M83" s="149" t="s">
        <v>338</v>
      </c>
      <c r="N83" t="s">
        <v>340</v>
      </c>
      <c r="O83" s="5">
        <f ca="1">$C$7*$AM$132</f>
        <v>63983481.932508498</v>
      </c>
      <c r="P83" s="5">
        <f ca="1">$C$7*$AM$132</f>
        <v>63983481.932508498</v>
      </c>
      <c r="Q83" s="5">
        <f ca="1">$C$7*$AM$132</f>
        <v>63983481.932508498</v>
      </c>
      <c r="R83" s="157"/>
      <c r="S83" s="155"/>
      <c r="T83" s="155"/>
      <c r="U83" s="155"/>
      <c r="V83" s="155"/>
      <c r="AD83" s="157"/>
      <c r="AE83" s="155"/>
      <c r="AF83" s="155"/>
      <c r="AG83" s="155"/>
      <c r="AH83" s="155"/>
    </row>
    <row r="84" spans="3:34">
      <c r="C84" s="232" t="s">
        <v>0</v>
      </c>
      <c r="D84" s="58" t="s">
        <v>30</v>
      </c>
      <c r="E84" s="148" t="s">
        <v>31</v>
      </c>
      <c r="F84" s="148" t="s">
        <v>42</v>
      </c>
      <c r="G84" s="12">
        <f ca="1">OFFSET(Tariff_SimCalculation!O86,,$C$4-rpm_start_year)</f>
        <v>0</v>
      </c>
      <c r="H84" s="12">
        <f ca="1">OFFSET(Tariff_SimCalculation!R86,,$C$4-rpm_start_year)</f>
        <v>0</v>
      </c>
      <c r="I84" s="148"/>
      <c r="J84" s="470">
        <f ca="1">$J$81</f>
        <v>2.0916000000000001</v>
      </c>
      <c r="K84" s="5"/>
      <c r="L84" s="510"/>
      <c r="M84" s="149" t="s">
        <v>338</v>
      </c>
      <c r="N84" t="s">
        <v>339</v>
      </c>
      <c r="O84" s="5">
        <f ca="1">SUMPRODUCT(O$53:O$80,$G$53:$G$80*("Entry"=$D$53:$D$80))</f>
        <v>63983481.932508498</v>
      </c>
      <c r="P84" s="5">
        <f ca="1">SUMPRODUCT(P$53:P$80,$G$53:$G$80*("Entry"=$D$53:$D$80))</f>
        <v>74137553.072819531</v>
      </c>
      <c r="Q84" s="5">
        <f ca="1">SUMPRODUCT(Q$53:Q$80,$G$53:$G$80*("Entry"=$D$53:$D$80))</f>
        <v>74186437.722641855</v>
      </c>
      <c r="R84" s="157"/>
      <c r="S84" s="155"/>
      <c r="T84" s="155"/>
      <c r="U84" s="155"/>
      <c r="V84" s="155"/>
      <c r="AD84" s="157"/>
      <c r="AE84" s="155"/>
      <c r="AF84" s="155"/>
      <c r="AG84" s="155"/>
      <c r="AH84" s="155"/>
    </row>
    <row r="85" spans="3:34">
      <c r="C85" s="232" t="s">
        <v>0</v>
      </c>
      <c r="D85" s="58" t="s">
        <v>30</v>
      </c>
      <c r="E85" s="148" t="s">
        <v>31</v>
      </c>
      <c r="F85" s="148" t="s">
        <v>43</v>
      </c>
      <c r="G85" s="12">
        <f ca="1">OFFSET(Tariff_SimCalculation!O87,,$C$4-rpm_start_year)</f>
        <v>0</v>
      </c>
      <c r="H85" s="12">
        <f ca="1">OFFSET(Tariff_SimCalculation!R87,,$C$4-rpm_start_year)</f>
        <v>0</v>
      </c>
      <c r="I85" s="233"/>
      <c r="J85" s="470">
        <f ca="1">$J$81</f>
        <v>2.0916000000000001</v>
      </c>
      <c r="K85" s="5"/>
      <c r="L85" s="510"/>
      <c r="M85" s="149" t="s">
        <v>229</v>
      </c>
      <c r="N85" t="s">
        <v>340</v>
      </c>
      <c r="O85" s="5">
        <f ca="1">$C$7*(1-$AM$132)</f>
        <v>217177824.0674915</v>
      </c>
      <c r="P85" s="5">
        <f ca="1">$C$7*(1-$AM$132)</f>
        <v>217177824.0674915</v>
      </c>
      <c r="Q85" s="5">
        <f ca="1">$C$7*(1-$AM$132)</f>
        <v>217177824.0674915</v>
      </c>
      <c r="R85" s="157"/>
      <c r="S85" s="155"/>
      <c r="T85" s="155"/>
      <c r="U85" s="158"/>
      <c r="V85" s="333"/>
      <c r="AD85" s="157"/>
      <c r="AE85" s="155"/>
      <c r="AF85" s="155"/>
      <c r="AG85" s="158"/>
      <c r="AH85" s="333"/>
    </row>
    <row r="86" spans="3:34">
      <c r="C86" s="232" t="s">
        <v>0</v>
      </c>
      <c r="D86" s="58" t="s">
        <v>30</v>
      </c>
      <c r="E86" s="148" t="s">
        <v>31</v>
      </c>
      <c r="F86" s="148" t="s">
        <v>44</v>
      </c>
      <c r="G86" s="12">
        <f ca="1">OFFSET(Tariff_SimCalculation!O88,,$C$4-rpm_start_year)</f>
        <v>0</v>
      </c>
      <c r="H86" s="12">
        <f ca="1">OFFSET(Tariff_SimCalculation!R88,,$C$4-rpm_start_year)</f>
        <v>0</v>
      </c>
      <c r="I86" s="148"/>
      <c r="J86" s="470">
        <f ca="1">$J$81</f>
        <v>2.0916000000000001</v>
      </c>
      <c r="K86" s="5"/>
      <c r="L86" s="510"/>
      <c r="M86" s="149" t="s">
        <v>229</v>
      </c>
      <c r="N86" t="s">
        <v>332</v>
      </c>
      <c r="O86" s="5">
        <f ca="1">SUMPRODUCT(O$53:O$80*($N$53:$N$80&lt;&gt;1),$G$53:$G$80*("Exit"=$D$53:$D$80))+SUMPRODUCT(O$53:O$80*($N$53:$N$80=1)*(($I$53:$I$80*(1+$O$51))&gt;O53:O80),$G$53:$G$80*("Exit"=$D$53:$D$80))</f>
        <v>122171719.57431892</v>
      </c>
      <c r="P86" s="5">
        <f ca="1">SUMPRODUCT(P$53:P$80*($N$53:$N$80&lt;&gt;1),$G$53:$G$80*("Exit"=$D$53:$D$80))+SUMPRODUCT(P$53:P$80*($N$53:$N$80=1)*(($I$53:$I$80*(1+$O$51))&gt;P53:P80),$G$53:$G$80*("Exit"=$D$53:$D$80))</f>
        <v>137796066.45681503</v>
      </c>
      <c r="Q86" s="5">
        <f ca="1">SUMPRODUCT(Q$53:Q$80*($N$53:$N$80&lt;&gt;1),$G$53:$G$80*("Exit"=$D$53:$D$80))+SUMPRODUCT(Q$53:Q$80*($N$53:$N$80=1)*(($I$53:$I$80*(1+$O$51))&gt;Q53:Q80),$G$53:$G$80*("Exit"=$D$53:$D$80))</f>
        <v>137886926.11128759</v>
      </c>
      <c r="R86" s="157"/>
      <c r="S86" s="155"/>
      <c r="T86" s="155"/>
      <c r="U86" s="158"/>
      <c r="V86" s="333"/>
      <c r="AD86" s="157"/>
      <c r="AE86" s="155"/>
      <c r="AF86" s="155"/>
      <c r="AG86" s="158"/>
      <c r="AH86" s="333"/>
    </row>
    <row r="87" spans="3:34">
      <c r="C87" s="232" t="s">
        <v>0</v>
      </c>
      <c r="D87" s="58" t="s">
        <v>30</v>
      </c>
      <c r="E87" s="59" t="s">
        <v>32</v>
      </c>
      <c r="F87" s="148" t="s">
        <v>44</v>
      </c>
      <c r="G87" s="12">
        <f ca="1">OFFSET(Tariff_SimCalculation!O89,,$C$4-rpm_start_year)</f>
        <v>2378663</v>
      </c>
      <c r="H87" s="12">
        <f ca="1">OFFSET(Tariff_SimCalculation!R89,,$C$4-rpm_start_year)</f>
        <v>2378663</v>
      </c>
      <c r="I87" s="148"/>
      <c r="J87" s="470">
        <f ca="1">J82</f>
        <v>1.8824400000000001</v>
      </c>
      <c r="K87" s="5"/>
      <c r="L87" s="510"/>
      <c r="M87" s="149" t="s">
        <v>229</v>
      </c>
      <c r="N87" t="s">
        <v>333</v>
      </c>
      <c r="O87" s="5" cm="1">
        <f t="array" aca="1" ref="O87" ca="1">SUMPRODUCT(O$53:O$80*($N$53:$N$80=1)*(($I$53:$I$80*(1+$O$51))&lt;=O53:O80),$G$53:$G$80*("Exit"=$D$53:$D$80))</f>
        <v>65463586.60967999</v>
      </c>
      <c r="P87" s="5">
        <f ca="1">SUMPRODUCT(P$53:P$80*($N$53:$N$80=1)*(($I$53:$I$80*(1+$O$51))&lt;=P53:P80),$G$53:$G$80*("Exit"=$D$53:$D$80))</f>
        <v>69087942.166070551</v>
      </c>
      <c r="Q87" s="5">
        <f ca="1">SUMPRODUCT(Q$53:Q$80*($N$53:$N$80=1)*(($I$53:$I$80*(1+$O$51))&lt;=Q53:Q80),$G$53:$G$80*("Exit"=$D$53:$D$80))</f>
        <v>69087942.166070551</v>
      </c>
      <c r="R87" s="157"/>
      <c r="S87" s="155"/>
      <c r="T87" s="155"/>
      <c r="U87" s="158"/>
      <c r="V87" s="333"/>
      <c r="AD87" s="157"/>
      <c r="AE87" s="155"/>
      <c r="AF87" s="155"/>
      <c r="AG87" s="158"/>
      <c r="AH87" s="333"/>
    </row>
    <row r="88" spans="3:34">
      <c r="C88" s="232" t="s">
        <v>0</v>
      </c>
      <c r="D88" s="58" t="s">
        <v>30</v>
      </c>
      <c r="E88" s="148" t="s">
        <v>31</v>
      </c>
      <c r="F88" s="148" t="s">
        <v>45</v>
      </c>
      <c r="G88" s="12">
        <f ca="1">OFFSET(Tariff_SimCalculation!O90,,$C$4-rpm_start_year)</f>
        <v>0</v>
      </c>
      <c r="H88" s="12">
        <f ca="1">OFFSET(Tariff_SimCalculation!R90,,$C$4-rpm_start_year)</f>
        <v>0</v>
      </c>
      <c r="I88" s="148"/>
      <c r="J88" s="470">
        <f t="shared" ref="J88:J94" ca="1" si="30">$J$81</f>
        <v>2.0916000000000001</v>
      </c>
      <c r="K88" s="5"/>
      <c r="L88" s="510"/>
      <c r="M88" s="149" t="s">
        <v>229</v>
      </c>
      <c r="N88" t="s">
        <v>345</v>
      </c>
      <c r="O88" s="5">
        <f ca="1">O85-O87</f>
        <v>151714237.4578115</v>
      </c>
      <c r="P88" s="5">
        <f ca="1">P85-P87</f>
        <v>148089881.90142095</v>
      </c>
      <c r="Q88" s="5">
        <f ca="1">Q85-Q87</f>
        <v>148089881.90142095</v>
      </c>
      <c r="R88" s="157"/>
      <c r="S88" s="155"/>
      <c r="U88" s="500"/>
      <c r="V88" s="500"/>
      <c r="AD88" s="157"/>
      <c r="AE88" s="155"/>
      <c r="AF88" s="155"/>
      <c r="AG88" s="155"/>
      <c r="AH88" s="155"/>
    </row>
    <row r="89" spans="3:34">
      <c r="C89" s="471" t="s">
        <v>0</v>
      </c>
      <c r="D89" s="472" t="s">
        <v>30</v>
      </c>
      <c r="E89" s="473" t="s">
        <v>31</v>
      </c>
      <c r="F89" s="473" t="s">
        <v>46</v>
      </c>
      <c r="G89" s="467">
        <f ca="1">OFFSET(Tariff_SimCalculation!O91,,$C$4-rpm_start_year)</f>
        <v>21422795</v>
      </c>
      <c r="H89" s="467">
        <f ca="1">OFFSET(Tariff_SimCalculation!R91,,$C$4-rpm_start_year)</f>
        <v>21422795</v>
      </c>
      <c r="I89" s="473"/>
      <c r="J89" s="525">
        <f t="shared" ca="1" si="30"/>
        <v>2.0916000000000001</v>
      </c>
      <c r="K89" s="5"/>
      <c r="L89" s="510"/>
      <c r="N89" t="s">
        <v>341</v>
      </c>
      <c r="O89" s="507">
        <f ca="1">O88/O86</f>
        <v>1.2418114272797922</v>
      </c>
      <c r="P89" s="507">
        <f ca="1">P88/P86</f>
        <v>1.0747032604724749</v>
      </c>
      <c r="Q89" s="507">
        <f ca="1">Q88/Q86</f>
        <v>1.073995092050269</v>
      </c>
      <c r="R89" s="157"/>
      <c r="S89" s="155"/>
      <c r="U89" s="500"/>
      <c r="V89" s="500"/>
      <c r="AD89" s="157"/>
      <c r="AE89" s="155"/>
      <c r="AF89" s="155"/>
      <c r="AG89" s="155"/>
      <c r="AH89" s="155"/>
    </row>
    <row r="90" spans="3:34">
      <c r="C90" s="58" t="s">
        <v>13</v>
      </c>
      <c r="D90" s="58" t="s">
        <v>30</v>
      </c>
      <c r="E90" s="148" t="s">
        <v>31</v>
      </c>
      <c r="F90" s="148" t="s">
        <v>47</v>
      </c>
      <c r="G90" s="12">
        <f ca="1">OFFSET(Tariff_SimCalculation!O92,,$C$4-rpm_start_year)</f>
        <v>1111502.9999999988</v>
      </c>
      <c r="H90" s="12">
        <f ca="1">OFFSET(Tariff_SimCalculation!R92,,$C$4-rpm_start_year)</f>
        <v>1111502.9999999988</v>
      </c>
      <c r="I90" s="148"/>
      <c r="J90" s="470">
        <f t="shared" ca="1" si="30"/>
        <v>2.0916000000000001</v>
      </c>
      <c r="K90" s="5"/>
      <c r="L90" s="510"/>
      <c r="M90" s="149"/>
      <c r="N90" t="s">
        <v>331</v>
      </c>
      <c r="O90" s="507">
        <f ca="1">(P92-O87)/(O84+O86)</f>
        <v>1.1586983207794443</v>
      </c>
      <c r="P90" s="507">
        <f ca="1">(Q92-P87)/(P84+P86)</f>
        <v>1.0006593777080062</v>
      </c>
      <c r="Q90" s="507">
        <f ca="1">(R92-Q87)/(Q84+Q86)</f>
        <v>1</v>
      </c>
      <c r="R90" s="157"/>
      <c r="S90" s="155"/>
      <c r="U90" s="500"/>
      <c r="AD90" s="157"/>
      <c r="AE90" s="155"/>
      <c r="AF90" s="155"/>
      <c r="AG90" s="155"/>
      <c r="AH90" s="155"/>
    </row>
    <row r="91" spans="3:34">
      <c r="C91" s="58" t="s">
        <v>13</v>
      </c>
      <c r="D91" s="58" t="s">
        <v>30</v>
      </c>
      <c r="E91" s="148" t="s">
        <v>31</v>
      </c>
      <c r="F91" s="148" t="s">
        <v>48</v>
      </c>
      <c r="G91" s="12">
        <f ca="1">OFFSET(Tariff_SimCalculation!O93,,$C$4-rpm_start_year)</f>
        <v>166730.99999999983</v>
      </c>
      <c r="H91" s="12">
        <f ca="1">OFFSET(Tariff_SimCalculation!R93,,$C$4-rpm_start_year)</f>
        <v>166730.99999999983</v>
      </c>
      <c r="I91" s="148"/>
      <c r="J91" s="470">
        <f t="shared" ca="1" si="30"/>
        <v>2.0916000000000001</v>
      </c>
      <c r="K91" s="5"/>
      <c r="L91" s="510"/>
      <c r="M91" s="149"/>
      <c r="N91" t="s">
        <v>342</v>
      </c>
      <c r="O91" s="5">
        <f ca="1">SUMPRODUCT(O$53:O$80,$G$53:$G$80)</f>
        <v>251618788.11650738</v>
      </c>
      <c r="P91" s="5">
        <f ca="1">SUMPRODUCT(P$53:P$80,$G$53:$G$80)</f>
        <v>281021561.69570512</v>
      </c>
      <c r="Q91" s="5">
        <f ca="1">SUMPRODUCT(Q$53:Q$80,$G$53:$G$80)</f>
        <v>281161306.00000006</v>
      </c>
      <c r="R91" s="5">
        <f ca="1">SUMPRODUCT(R$53:R$80,$G$53:$G$80)</f>
        <v>281161306.00000006</v>
      </c>
      <c r="S91" s="155"/>
      <c r="U91" s="500"/>
      <c r="AD91" s="157"/>
      <c r="AE91" s="155"/>
      <c r="AF91" s="155"/>
      <c r="AG91" s="155"/>
      <c r="AH91" s="155"/>
    </row>
    <row r="92" spans="3:34">
      <c r="C92" s="58" t="s">
        <v>13</v>
      </c>
      <c r="D92" s="58" t="s">
        <v>30</v>
      </c>
      <c r="E92" s="148" t="s">
        <v>31</v>
      </c>
      <c r="F92" s="148" t="s">
        <v>49</v>
      </c>
      <c r="G92" s="12">
        <f ca="1">OFFSET(Tariff_SimCalculation!O94,,$C$4-rpm_start_year)</f>
        <v>221438.99999999977</v>
      </c>
      <c r="H92" s="12">
        <f ca="1">OFFSET(Tariff_SimCalculation!R94,,$C$4-rpm_start_year)</f>
        <v>221438.99999999977</v>
      </c>
      <c r="I92" s="148"/>
      <c r="J92" s="470">
        <f t="shared" ca="1" si="30"/>
        <v>2.0916000000000001</v>
      </c>
      <c r="K92" s="5"/>
      <c r="L92" s="510"/>
      <c r="M92" s="149"/>
      <c r="N92" t="s">
        <v>344</v>
      </c>
      <c r="O92" s="5">
        <f ca="1">$C$7</f>
        <v>281161306</v>
      </c>
      <c r="P92" s="5">
        <f ca="1">$C$7</f>
        <v>281161306</v>
      </c>
      <c r="Q92" s="5">
        <f ca="1">$C$7</f>
        <v>281161306</v>
      </c>
      <c r="R92" s="5">
        <f ca="1">$C$7</f>
        <v>281161306</v>
      </c>
      <c r="S92" s="155"/>
      <c r="AD92" s="157"/>
      <c r="AE92" s="155"/>
      <c r="AF92" s="155"/>
      <c r="AG92" s="155"/>
      <c r="AH92" s="155"/>
    </row>
    <row r="93" spans="3:34">
      <c r="C93" s="58" t="s">
        <v>13</v>
      </c>
      <c r="D93" s="58" t="s">
        <v>30</v>
      </c>
      <c r="E93" s="148" t="s">
        <v>31</v>
      </c>
      <c r="F93" s="148" t="s">
        <v>50</v>
      </c>
      <c r="G93" s="12">
        <f ca="1">OFFSET(Tariff_SimCalculation!O95,,$C$4-rpm_start_year)</f>
        <v>1952542.9999999979</v>
      </c>
      <c r="H93" s="12">
        <f ca="1">OFFSET(Tariff_SimCalculation!R95,,$C$4-rpm_start_year)</f>
        <v>1952542.9999999979</v>
      </c>
      <c r="I93" s="148"/>
      <c r="J93" s="470">
        <f t="shared" ca="1" si="30"/>
        <v>2.0916000000000001</v>
      </c>
      <c r="K93" s="5"/>
      <c r="L93" s="510"/>
      <c r="M93" s="149"/>
      <c r="N93" t="s">
        <v>343</v>
      </c>
      <c r="P93" s="5">
        <f ca="1">P92-P91</f>
        <v>139744.3042948842</v>
      </c>
      <c r="Q93" s="5">
        <f ca="1">Q92-Q91</f>
        <v>0</v>
      </c>
      <c r="R93" s="5">
        <f ca="1">R92-R91</f>
        <v>0</v>
      </c>
      <c r="S93" s="155"/>
      <c r="U93" s="501"/>
      <c r="V93" s="501"/>
      <c r="AD93" s="157"/>
      <c r="AE93" s="155"/>
      <c r="AF93" s="155"/>
      <c r="AG93" s="155"/>
      <c r="AH93" s="155"/>
    </row>
    <row r="94" spans="3:34">
      <c r="C94" s="58" t="s">
        <v>13</v>
      </c>
      <c r="D94" s="58" t="s">
        <v>30</v>
      </c>
      <c r="E94" s="148" t="s">
        <v>31</v>
      </c>
      <c r="F94" s="148" t="s">
        <v>51</v>
      </c>
      <c r="G94" s="12">
        <f ca="1">OFFSET(Tariff_SimCalculation!O96,,$C$4-rpm_start_year)</f>
        <v>110455.99999999988</v>
      </c>
      <c r="H94" s="12">
        <f ca="1">OFFSET(Tariff_SimCalculation!R96,,$C$4-rpm_start_year)</f>
        <v>110455.99999999988</v>
      </c>
      <c r="I94" s="148"/>
      <c r="J94" s="470">
        <f t="shared" ca="1" si="30"/>
        <v>2.0916000000000001</v>
      </c>
      <c r="K94" s="5"/>
      <c r="L94" s="510"/>
      <c r="M94" s="149"/>
      <c r="N94" t="s">
        <v>349</v>
      </c>
      <c r="P94" s="9">
        <f ca="1">O84/P91</f>
        <v>0.22768175347979488</v>
      </c>
      <c r="Q94" s="9">
        <f ca="1">P84/Q91</f>
        <v>0.26368334294484858</v>
      </c>
      <c r="R94" s="9">
        <f ca="1">Q84/R91</f>
        <v>0.26385720986315891</v>
      </c>
      <c r="S94" t="s">
        <v>350</v>
      </c>
      <c r="T94" s="42">
        <f ca="1">SUMPRODUCT(J$53:J$80,$G$53:$G$80*("Entry"=$D$53:$D$80))/SUMPRODUCT(J$53:J$80,$G$53:$G$80)</f>
        <v>0.26385720986315891</v>
      </c>
      <c r="U94" s="155"/>
      <c r="V94" s="155"/>
      <c r="AD94" s="157"/>
      <c r="AE94" s="155"/>
      <c r="AF94" s="155"/>
      <c r="AG94" s="155"/>
      <c r="AH94" s="155"/>
    </row>
    <row r="95" spans="3:34">
      <c r="C95" s="58" t="s">
        <v>13</v>
      </c>
      <c r="D95" s="58" t="s">
        <v>30</v>
      </c>
      <c r="E95" s="148" t="s">
        <v>31</v>
      </c>
      <c r="F95" s="148" t="s">
        <v>52</v>
      </c>
      <c r="G95" s="12">
        <f ca="1">OFFSET(Tariff_SimCalculation!O97,,$C$4-rpm_start_year)</f>
        <v>55222.999999999942</v>
      </c>
      <c r="H95" s="12">
        <f ca="1">OFFSET(Tariff_SimCalculation!R97,,$C$4-rpm_start_year)</f>
        <v>55222.999999999942</v>
      </c>
      <c r="I95" s="148"/>
      <c r="J95" s="470">
        <f ca="1">$J$79</f>
        <v>7.680818605912572</v>
      </c>
      <c r="K95" s="5"/>
      <c r="M95" s="149"/>
      <c r="R95" s="157"/>
      <c r="S95" s="155"/>
      <c r="T95" s="155"/>
      <c r="U95" s="155"/>
      <c r="V95" s="155"/>
      <c r="AD95" s="157"/>
      <c r="AE95" s="155"/>
      <c r="AF95" s="155"/>
      <c r="AG95" s="155"/>
      <c r="AH95" s="155"/>
    </row>
    <row r="96" spans="3:34">
      <c r="C96" s="58" t="s">
        <v>13</v>
      </c>
      <c r="D96" s="58" t="s">
        <v>30</v>
      </c>
      <c r="E96" s="148" t="s">
        <v>31</v>
      </c>
      <c r="F96" s="148" t="s">
        <v>53</v>
      </c>
      <c r="G96" s="12">
        <f ca="1">OFFSET(Tariff_SimCalculation!O98,,$C$4-rpm_start_year)</f>
        <v>22021.999999999978</v>
      </c>
      <c r="H96" s="12">
        <f ca="1">OFFSET(Tariff_SimCalculation!R98,,$C$4-rpm_start_year)</f>
        <v>22021.999999999978</v>
      </c>
      <c r="I96" s="148"/>
      <c r="J96" s="470">
        <f ca="1">$J$79</f>
        <v>7.680818605912572</v>
      </c>
      <c r="K96" s="5"/>
      <c r="M96" s="149"/>
      <c r="O96" s="5"/>
      <c r="R96" s="157"/>
      <c r="S96" s="155"/>
      <c r="T96" s="155"/>
      <c r="U96" s="155"/>
      <c r="V96" s="155"/>
      <c r="AD96" s="157"/>
      <c r="AE96" s="155"/>
      <c r="AF96" s="155"/>
      <c r="AG96" s="155"/>
      <c r="AH96" s="155"/>
    </row>
    <row r="97" spans="1:76">
      <c r="C97" s="58" t="s">
        <v>13</v>
      </c>
      <c r="D97" s="58" t="s">
        <v>30</v>
      </c>
      <c r="E97" s="148" t="s">
        <v>31</v>
      </c>
      <c r="F97" s="148" t="s">
        <v>54</v>
      </c>
      <c r="G97" s="12">
        <f ca="1">OFFSET(Tariff_SimCalculation!O99,,$C$4-rpm_start_year)</f>
        <v>110086.9999999999</v>
      </c>
      <c r="H97" s="12">
        <f ca="1">OFFSET(Tariff_SimCalculation!R99,,$C$4-rpm_start_year)</f>
        <v>110086.9999999999</v>
      </c>
      <c r="I97" s="148"/>
      <c r="J97" s="470">
        <f ca="1">$J$79</f>
        <v>7.680818605912572</v>
      </c>
      <c r="K97" s="5"/>
      <c r="M97" s="149"/>
      <c r="R97" s="157"/>
      <c r="S97" s="155"/>
      <c r="T97" s="155"/>
      <c r="U97" s="155"/>
      <c r="V97" s="155"/>
      <c r="AD97" s="157"/>
      <c r="AE97" s="155"/>
      <c r="AF97" s="155"/>
      <c r="AG97" s="155"/>
      <c r="AH97" s="155"/>
    </row>
    <row r="98" spans="1:76">
      <c r="C98" s="58" t="s">
        <v>13</v>
      </c>
      <c r="D98" s="58" t="s">
        <v>30</v>
      </c>
      <c r="E98" s="148" t="s">
        <v>31</v>
      </c>
      <c r="F98" s="148" t="s">
        <v>55</v>
      </c>
      <c r="G98" s="12">
        <f ca="1">OFFSET(Tariff_SimCalculation!O100,,$C$4-rpm_start_year)</f>
        <v>284538.99999999971</v>
      </c>
      <c r="H98" s="12">
        <f ca="1">OFFSET(Tariff_SimCalculation!R100,,$C$4-rpm_start_year)</f>
        <v>284538.99999999971</v>
      </c>
      <c r="I98" s="148"/>
      <c r="J98" s="470">
        <f ca="1">$J$79</f>
        <v>7.680818605912572</v>
      </c>
      <c r="K98" s="5"/>
      <c r="M98" s="149"/>
      <c r="R98" s="157"/>
      <c r="S98" s="155"/>
      <c r="T98" s="155"/>
      <c r="U98" s="155"/>
      <c r="V98" s="155"/>
      <c r="AD98" s="157"/>
      <c r="AE98" s="155"/>
      <c r="AF98" s="155"/>
      <c r="AG98" s="155"/>
      <c r="AH98" s="155"/>
    </row>
    <row r="99" spans="1:76">
      <c r="N99" s="270"/>
    </row>
    <row r="100" spans="1:76" ht="18.75">
      <c r="A100" s="60" t="s">
        <v>16</v>
      </c>
      <c r="B100" s="60"/>
      <c r="C100" s="60"/>
      <c r="D100" s="60"/>
      <c r="E100" s="60"/>
      <c r="F100" s="60"/>
      <c r="G100" s="60"/>
      <c r="H100" s="61"/>
      <c r="I100" s="61"/>
      <c r="J100" s="60"/>
      <c r="K100" s="60"/>
      <c r="L100" s="60"/>
      <c r="M100" s="60"/>
      <c r="N100" s="60"/>
      <c r="O100" s="60"/>
      <c r="P100" s="60"/>
      <c r="Q100" s="60"/>
      <c r="R100" s="60"/>
      <c r="S100" s="60"/>
      <c r="T100" s="60"/>
      <c r="U100" s="60"/>
      <c r="V100" s="60"/>
      <c r="W100" s="60"/>
      <c r="X100" s="60"/>
      <c r="Y100" s="60"/>
      <c r="Z100" s="60"/>
      <c r="AA100" s="60"/>
      <c r="AB100" s="60"/>
      <c r="AC100" s="60"/>
      <c r="AD100" s="60"/>
      <c r="AE100" s="60"/>
      <c r="AF100" s="60"/>
      <c r="AG100" s="60"/>
      <c r="AH100" s="60"/>
      <c r="AI100" s="60"/>
      <c r="AJ100" s="60"/>
      <c r="AK100" s="60"/>
      <c r="AL100" s="60"/>
      <c r="AM100" s="60"/>
      <c r="AN100" s="60"/>
      <c r="AO100" s="60"/>
      <c r="AP100" s="60"/>
      <c r="AQ100" s="60"/>
      <c r="AR100" s="60"/>
      <c r="AS100" s="60"/>
      <c r="AT100" s="60"/>
      <c r="AU100" s="60"/>
    </row>
    <row r="101" spans="1:76" s="17" customFormat="1" outlineLevel="1">
      <c r="A101"/>
      <c r="B101" s="1"/>
      <c r="C101" s="170"/>
      <c r="D101"/>
      <c r="E101"/>
      <c r="F101" s="5"/>
      <c r="G101"/>
      <c r="H101" s="5"/>
      <c r="I101" s="5"/>
      <c r="J101"/>
      <c r="K101"/>
      <c r="L101"/>
      <c r="M101"/>
      <c r="N101"/>
      <c r="O101"/>
      <c r="P101"/>
      <c r="Q101"/>
      <c r="R101"/>
      <c r="S101"/>
      <c r="T101"/>
      <c r="U101"/>
      <c r="V101"/>
      <c r="W101"/>
      <c r="X101"/>
      <c r="Y101"/>
      <c r="Z101"/>
      <c r="AA101"/>
      <c r="AB101"/>
      <c r="AC101"/>
      <c r="AD101"/>
      <c r="AE101"/>
      <c r="AF101"/>
      <c r="AG101"/>
      <c r="AH101"/>
      <c r="AI101"/>
      <c r="AJ101"/>
      <c r="AK101"/>
      <c r="AL101"/>
      <c r="AM101"/>
      <c r="AN101"/>
      <c r="AO101"/>
      <c r="AP101"/>
      <c r="AQ101"/>
    </row>
    <row r="102" spans="1:76" s="17" customFormat="1" outlineLevel="1">
      <c r="A102"/>
      <c r="B102" s="1" t="s">
        <v>18</v>
      </c>
      <c r="C102" s="170">
        <f ca="1">costs_GCA_capa+costs_TAG_capa</f>
        <v>281161306</v>
      </c>
      <c r="D102" s="147" t="s">
        <v>19</v>
      </c>
      <c r="E102"/>
      <c r="F102" s="5"/>
      <c r="G102"/>
      <c r="H102" s="5"/>
      <c r="I102" s="12"/>
      <c r="J102"/>
      <c r="K102"/>
      <c r="L102"/>
      <c r="M102" s="1"/>
      <c r="N102" s="169"/>
      <c r="O102"/>
      <c r="P102"/>
      <c r="Q102"/>
      <c r="R102"/>
      <c r="S102"/>
      <c r="T102"/>
      <c r="U102"/>
      <c r="V102"/>
      <c r="W102"/>
      <c r="X102"/>
      <c r="Y102"/>
      <c r="Z102"/>
      <c r="AA102"/>
      <c r="AB102"/>
      <c r="AC102"/>
      <c r="AD102" s="8"/>
      <c r="AE102"/>
      <c r="AF102"/>
      <c r="AG102"/>
      <c r="AH102"/>
      <c r="AI102"/>
      <c r="AJ102"/>
      <c r="AK102"/>
      <c r="AL102"/>
      <c r="AM102"/>
      <c r="AN102"/>
      <c r="AO102"/>
      <c r="AP102"/>
      <c r="AQ102"/>
    </row>
    <row r="103" spans="1:76" s="17" customFormat="1" ht="15.75" outlineLevel="1" thickBot="1">
      <c r="A103"/>
      <c r="B103" s="171" t="s">
        <v>133</v>
      </c>
      <c r="C103" s="172">
        <f ca="1">C8</f>
        <v>0.25</v>
      </c>
      <c r="F103" s="12"/>
      <c r="G103"/>
      <c r="H103"/>
      <c r="I103"/>
      <c r="J103"/>
      <c r="K103"/>
      <c r="L103"/>
      <c r="M103"/>
      <c r="N103"/>
      <c r="O103"/>
      <c r="P103"/>
      <c r="Q103"/>
      <c r="R103"/>
      <c r="S103"/>
      <c r="T103"/>
      <c r="U103"/>
      <c r="V103"/>
      <c r="W103"/>
      <c r="X103"/>
      <c r="Y103"/>
      <c r="Z103"/>
      <c r="AA103"/>
      <c r="AB103" s="7"/>
      <c r="AC103"/>
      <c r="AD103"/>
      <c r="AE103"/>
      <c r="AF103"/>
      <c r="AG103"/>
      <c r="AH103"/>
      <c r="AI103"/>
      <c r="AJ103"/>
      <c r="AK103"/>
      <c r="AL103"/>
      <c r="AM103"/>
      <c r="AN103"/>
      <c r="AO103"/>
      <c r="AP103"/>
      <c r="AQ103"/>
    </row>
    <row r="104" spans="1:76" s="17" customFormat="1" outlineLevel="1">
      <c r="A104"/>
      <c r="B104" s="171" t="s">
        <v>134</v>
      </c>
      <c r="C104" s="174">
        <f ca="1">C103*C102</f>
        <v>70290326.5</v>
      </c>
      <c r="D104" s="147" t="s">
        <v>19</v>
      </c>
      <c r="E104"/>
      <c r="F104"/>
      <c r="G104" s="186"/>
      <c r="H104" s="186"/>
      <c r="I104" s="186"/>
      <c r="J104" s="186"/>
      <c r="K104" s="186"/>
      <c r="L104" s="186"/>
      <c r="M104" s="186"/>
      <c r="N104" s="186"/>
      <c r="O104" s="186"/>
      <c r="P104" s="186"/>
      <c r="Q104" s="186"/>
      <c r="R104" s="186"/>
      <c r="S104" s="186"/>
      <c r="T104" s="186"/>
      <c r="U104"/>
      <c r="V104"/>
      <c r="W104"/>
      <c r="X104"/>
      <c r="Y104"/>
      <c r="Z104"/>
      <c r="AA104"/>
      <c r="AB104" s="14"/>
      <c r="AC104"/>
      <c r="AD104"/>
      <c r="AE104"/>
      <c r="AF104">
        <v>25785675.652113322</v>
      </c>
      <c r="AG104" s="451">
        <v>22658853.185462326</v>
      </c>
      <c r="AH104">
        <f>AG104/AF104</f>
        <v>0.87873800520737055</v>
      </c>
      <c r="AI104"/>
      <c r="AJ104"/>
      <c r="AK104"/>
      <c r="AL104"/>
      <c r="AM104"/>
      <c r="AN104"/>
      <c r="AO104"/>
      <c r="AP104"/>
      <c r="AQ104"/>
    </row>
    <row r="105" spans="1:76" s="17" customFormat="1" outlineLevel="1">
      <c r="A105"/>
      <c r="B105" s="171" t="s">
        <v>135</v>
      </c>
      <c r="C105" s="174">
        <f ca="1">C102*(1-C103)</f>
        <v>210870979.5</v>
      </c>
      <c r="D105" s="147" t="s">
        <v>19</v>
      </c>
      <c r="E105"/>
      <c r="F105"/>
      <c r="G105" s="186"/>
      <c r="H105" s="186"/>
      <c r="I105" s="186"/>
      <c r="J105" s="186"/>
      <c r="K105" s="186"/>
      <c r="L105" s="186"/>
      <c r="M105" s="186"/>
      <c r="N105" s="186"/>
      <c r="O105" s="186"/>
      <c r="P105" s="186"/>
      <c r="Q105" s="186"/>
      <c r="R105" s="186"/>
      <c r="S105" s="186"/>
      <c r="T105" s="186"/>
      <c r="U105"/>
      <c r="V105"/>
      <c r="W105"/>
      <c r="X105"/>
      <c r="Y105"/>
      <c r="Z105"/>
      <c r="AA105"/>
      <c r="AB105" s="14"/>
      <c r="AC105"/>
      <c r="AD105"/>
      <c r="AE105"/>
      <c r="AF105">
        <v>114.86639915761913</v>
      </c>
      <c r="AG105">
        <v>113.21249037514652</v>
      </c>
      <c r="AH105">
        <f>AG105/AF105</f>
        <v>0.98560145704399482</v>
      </c>
      <c r="AI105"/>
      <c r="AJ105"/>
      <c r="AK105"/>
      <c r="AL105"/>
      <c r="AM105"/>
      <c r="AN105"/>
      <c r="AO105"/>
      <c r="AP105"/>
      <c r="AQ105"/>
    </row>
    <row r="106" spans="1:76" s="17" customFormat="1" outlineLevel="1">
      <c r="A106" s="2"/>
      <c r="C106"/>
      <c r="D106"/>
      <c r="F106"/>
      <c r="G106" s="186"/>
      <c r="H106" s="186"/>
      <c r="I106" s="186"/>
      <c r="J106" s="186"/>
      <c r="K106" s="186"/>
      <c r="L106" s="186"/>
      <c r="M106" s="186"/>
      <c r="N106" s="186"/>
      <c r="O106" s="186"/>
      <c r="P106" s="186"/>
      <c r="Q106" s="186"/>
      <c r="R106" s="186"/>
      <c r="S106" s="186"/>
      <c r="T106" s="186"/>
      <c r="U106"/>
      <c r="V106"/>
      <c r="W106"/>
      <c r="X106"/>
      <c r="Y106"/>
      <c r="Z106"/>
      <c r="AA106"/>
      <c r="AB106" s="14"/>
      <c r="AC106"/>
      <c r="AD106" s="229"/>
      <c r="AE106" s="229"/>
      <c r="AF106"/>
      <c r="AG106"/>
      <c r="AH106"/>
      <c r="AI106"/>
      <c r="AJ106"/>
      <c r="AK106"/>
      <c r="AL106"/>
      <c r="AM106"/>
      <c r="AN106"/>
      <c r="AO106"/>
      <c r="AP106"/>
      <c r="AQ106"/>
    </row>
    <row r="107" spans="1:76" s="17" customFormat="1" outlineLevel="1">
      <c r="A107" s="10"/>
      <c r="B107" s="186" t="s">
        <v>141</v>
      </c>
      <c r="C107"/>
      <c r="D107" s="187"/>
      <c r="E107" s="183" t="s">
        <v>30</v>
      </c>
      <c r="F107" s="183" t="s">
        <v>30</v>
      </c>
      <c r="G107" s="183" t="s">
        <v>30</v>
      </c>
      <c r="H107" s="183" t="s">
        <v>30</v>
      </c>
      <c r="I107" s="183" t="s">
        <v>30</v>
      </c>
      <c r="J107" s="183" t="s">
        <v>30</v>
      </c>
      <c r="K107" s="183" t="s">
        <v>30</v>
      </c>
      <c r="L107" s="183" t="s">
        <v>30</v>
      </c>
      <c r="M107" s="183" t="s">
        <v>30</v>
      </c>
      <c r="N107" s="183" t="s">
        <v>30</v>
      </c>
      <c r="O107" s="183" t="s">
        <v>30</v>
      </c>
      <c r="P107" s="183" t="s">
        <v>30</v>
      </c>
      <c r="Q107" s="183" t="s">
        <v>30</v>
      </c>
      <c r="R107" s="183" t="s">
        <v>30</v>
      </c>
      <c r="S107" s="183" t="s">
        <v>30</v>
      </c>
      <c r="T107" s="183" t="s">
        <v>30</v>
      </c>
      <c r="U107" s="183" t="s">
        <v>30</v>
      </c>
      <c r="V107" s="183" t="s">
        <v>30</v>
      </c>
      <c r="W107" s="183" t="s">
        <v>30</v>
      </c>
      <c r="X107" s="183" t="s">
        <v>30</v>
      </c>
      <c r="Y107" s="183" t="s">
        <v>30</v>
      </c>
      <c r="Z107" s="183" t="s">
        <v>30</v>
      </c>
      <c r="AA107" s="183" t="s">
        <v>30</v>
      </c>
      <c r="AB107" s="183" t="s">
        <v>30</v>
      </c>
      <c r="AC107" s="183" t="s">
        <v>30</v>
      </c>
      <c r="AD107" s="229" t="s">
        <v>31</v>
      </c>
      <c r="AE107" s="229" t="s">
        <v>32</v>
      </c>
      <c r="AF107"/>
      <c r="AG107"/>
      <c r="AH107" s="229" t="s">
        <v>31</v>
      </c>
      <c r="AI107" s="229" t="s">
        <v>32</v>
      </c>
      <c r="AJ107"/>
      <c r="AK107"/>
      <c r="AL107"/>
      <c r="AM107"/>
      <c r="AN107"/>
      <c r="AO107"/>
      <c r="AP107"/>
      <c r="AQ107"/>
    </row>
    <row r="108" spans="1:76" s="17" customFormat="1" ht="92.25" outlineLevel="1" thickBot="1">
      <c r="A108"/>
      <c r="C108"/>
      <c r="D108" s="187"/>
      <c r="E108" s="204" t="s">
        <v>22</v>
      </c>
      <c r="F108" s="204" t="s">
        <v>23</v>
      </c>
      <c r="G108" s="204" t="s">
        <v>24</v>
      </c>
      <c r="H108" s="204" t="s">
        <v>39</v>
      </c>
      <c r="I108" s="204" t="s">
        <v>34</v>
      </c>
      <c r="J108" s="204" t="s">
        <v>33</v>
      </c>
      <c r="K108" s="204" t="s">
        <v>20</v>
      </c>
      <c r="L108" s="204" t="s">
        <v>56</v>
      </c>
      <c r="M108" s="204" t="s">
        <v>25</v>
      </c>
      <c r="N108" s="204" t="s">
        <v>40</v>
      </c>
      <c r="O108" s="204" t="s">
        <v>41</v>
      </c>
      <c r="P108" s="204" t="s">
        <v>42</v>
      </c>
      <c r="Q108" s="204" t="s">
        <v>43</v>
      </c>
      <c r="R108" s="204" t="s">
        <v>44</v>
      </c>
      <c r="S108" s="204" t="s">
        <v>45</v>
      </c>
      <c r="T108" s="204" t="s">
        <v>46</v>
      </c>
      <c r="U108" s="204" t="s">
        <v>47</v>
      </c>
      <c r="V108" s="204" t="s">
        <v>48</v>
      </c>
      <c r="W108" s="204" t="s">
        <v>49</v>
      </c>
      <c r="X108" s="204" t="s">
        <v>50</v>
      </c>
      <c r="Y108" s="204" t="s">
        <v>51</v>
      </c>
      <c r="Z108" s="204" t="s">
        <v>52</v>
      </c>
      <c r="AA108" s="204" t="s">
        <v>53</v>
      </c>
      <c r="AB108" s="204" t="s">
        <v>54</v>
      </c>
      <c r="AC108" s="204" t="s">
        <v>55</v>
      </c>
      <c r="AD108" s="185" t="s">
        <v>170</v>
      </c>
      <c r="AE108" s="185" t="s">
        <v>170</v>
      </c>
      <c r="AF108" s="229" t="s">
        <v>319</v>
      </c>
      <c r="AG108" s="229" t="s">
        <v>137</v>
      </c>
      <c r="AH108" s="237" t="s">
        <v>139</v>
      </c>
      <c r="AI108" s="10" t="s">
        <v>140</v>
      </c>
      <c r="AJ108"/>
      <c r="AK108" s="229" t="s">
        <v>201</v>
      </c>
      <c r="AL108" s="229" t="s">
        <v>202</v>
      </c>
      <c r="AM108" s="229" t="s">
        <v>154</v>
      </c>
      <c r="AO108" s="247" t="s">
        <v>150</v>
      </c>
      <c r="AP108" s="247" t="s">
        <v>151</v>
      </c>
      <c r="AQ108" s="248"/>
      <c r="AR108" s="229" t="s">
        <v>157</v>
      </c>
      <c r="AS108" s="247" t="s">
        <v>171</v>
      </c>
      <c r="AT108" s="247" t="s">
        <v>172</v>
      </c>
      <c r="AY108" s="181" t="s">
        <v>136</v>
      </c>
      <c r="AZ108" s="182" t="s">
        <v>22</v>
      </c>
      <c r="BA108" s="182" t="s">
        <v>23</v>
      </c>
      <c r="BB108" s="182" t="s">
        <v>24</v>
      </c>
      <c r="BC108" s="182" t="s">
        <v>39</v>
      </c>
      <c r="BD108" s="182" t="s">
        <v>34</v>
      </c>
      <c r="BE108" s="182" t="s">
        <v>33</v>
      </c>
      <c r="BF108" s="182" t="s">
        <v>20</v>
      </c>
      <c r="BG108" s="182" t="s">
        <v>56</v>
      </c>
      <c r="BH108" s="182" t="s">
        <v>25</v>
      </c>
      <c r="BI108" s="182" t="s">
        <v>40</v>
      </c>
      <c r="BJ108" s="182" t="s">
        <v>41</v>
      </c>
      <c r="BK108" s="182" t="s">
        <v>42</v>
      </c>
      <c r="BL108" s="182" t="s">
        <v>43</v>
      </c>
      <c r="BM108" s="182" t="s">
        <v>44</v>
      </c>
      <c r="BN108" s="182" t="s">
        <v>45</v>
      </c>
      <c r="BO108" s="182" t="s">
        <v>46</v>
      </c>
      <c r="BP108" s="182" t="s">
        <v>47</v>
      </c>
      <c r="BQ108" s="182" t="s">
        <v>48</v>
      </c>
      <c r="BR108" s="182" t="s">
        <v>49</v>
      </c>
      <c r="BS108" s="182" t="s">
        <v>50</v>
      </c>
      <c r="BT108" s="182" t="s">
        <v>51</v>
      </c>
      <c r="BU108" s="182" t="s">
        <v>52</v>
      </c>
      <c r="BV108" s="182" t="s">
        <v>53</v>
      </c>
      <c r="BW108" s="182" t="s">
        <v>54</v>
      </c>
      <c r="BX108" s="182" t="s">
        <v>55</v>
      </c>
    </row>
    <row r="109" spans="1:76" s="17" customFormat="1" outlineLevel="1">
      <c r="A109"/>
      <c r="B109" s="1" t="s">
        <v>21</v>
      </c>
      <c r="C109"/>
      <c r="D109" s="188" t="s">
        <v>22</v>
      </c>
      <c r="E109" s="190">
        <v>0</v>
      </c>
      <c r="F109" s="191">
        <v>245</v>
      </c>
      <c r="G109" s="191">
        <v>340</v>
      </c>
      <c r="H109" s="191">
        <v>49</v>
      </c>
      <c r="I109" s="191">
        <v>39</v>
      </c>
      <c r="J109" s="191">
        <v>241</v>
      </c>
      <c r="K109" s="191">
        <v>384.59447</v>
      </c>
      <c r="L109" s="191">
        <v>337</v>
      </c>
      <c r="M109" s="191">
        <v>5</v>
      </c>
      <c r="N109" s="191">
        <v>27</v>
      </c>
      <c r="O109" s="191">
        <v>81</v>
      </c>
      <c r="P109" s="191">
        <v>136</v>
      </c>
      <c r="Q109" s="191">
        <v>188</v>
      </c>
      <c r="R109" s="191">
        <v>205</v>
      </c>
      <c r="S109" s="191">
        <v>225</v>
      </c>
      <c r="T109" s="191">
        <v>3.05</v>
      </c>
      <c r="U109" s="191">
        <v>74.84778</v>
      </c>
      <c r="V109" s="191">
        <v>140.48994999999999</v>
      </c>
      <c r="W109" s="191">
        <v>183.23273</v>
      </c>
      <c r="X109" s="191">
        <v>213.69001</v>
      </c>
      <c r="Y109" s="191">
        <v>234.34958</v>
      </c>
      <c r="Z109" s="191">
        <v>271.73602</v>
      </c>
      <c r="AA109" s="191">
        <v>303.39652000000001</v>
      </c>
      <c r="AB109" s="191">
        <v>323.51218999999998</v>
      </c>
      <c r="AC109" s="192">
        <v>364.42469</v>
      </c>
      <c r="AD109" s="451">
        <f ca="1">SUMIFS($G$53:$G$98,$F$53:$F$98,$D109,$D$53:$D$98,$B109,$E$53:$E$98,AD$107)</f>
        <v>11606664</v>
      </c>
      <c r="AE109" s="272">
        <f>SUMIFS($G$53:$G$98,$F$53:$F$98,$D109,$D$53:$D$98,$B109,$E$53:$E$98,AE$107)</f>
        <v>0</v>
      </c>
      <c r="AF109" s="180" cm="1">
        <f t="array" aca="1" ref="AF109" ca="1">(SUMPRODUCT(E109:AC109,$E$119:$AC$119)+SUMPRODUCT(E109:AC109,$E$120:$AC$120,AZ109:BX109))/(SUMPRODUCT($E$119:$AC$119*(E109:AC109&lt;&gt;0))+SUMPRODUCT($E$120:$AC$120*AZ109:BX109*(E109:AC109&lt;&gt;0)))</f>
        <v>93.183792671463024</v>
      </c>
      <c r="AG109" s="228">
        <f ca="1">AF109*(AD109+AE109)/(SUMPRODUCT($AF$109:$AF$118,$AD$109:$AD$118)+SUMPRODUCT($AF$109:$AF$118,$AE$109:$AE$118))</f>
        <v>0.14401269529139527</v>
      </c>
      <c r="AH109" s="236">
        <f t="shared" ref="AH109" ca="1" si="31">IFERROR(AG109*$C$104/(AD109+AE109*(1-discount_DZK)),0)</f>
        <v>0.87214546506879032</v>
      </c>
      <c r="AI109" s="235">
        <v>0</v>
      </c>
      <c r="AJ109" s="231">
        <f ca="1">AD109*AH109+AE109*AI109</f>
        <v>10122699.372177185</v>
      </c>
      <c r="AK109" s="244">
        <f ca="1">IF(Tariff_SimCalculation!X8,SUMIFS($AJ$109:$AJ$115,Tariff_SimCalculation!$X$8:$X$14,1)/(SUMIFS($AD$109:$AD$115,Tariff_SimCalculation!$X$8:$X$14,1)+SUMIFS($AE$109:$AE$115,Tariff_SimCalculation!$X$8:$X$14,1)*(1-discount_DZK)),"")</f>
        <v>2.213827549689642</v>
      </c>
      <c r="AL109" s="235"/>
      <c r="AM109"/>
      <c r="AO109" s="235">
        <f ca="1">IF(AK109&lt;&gt;"",AK109,AH109)</f>
        <v>2.213827549689642</v>
      </c>
      <c r="AP109" s="235">
        <f t="shared" ref="AP109" si="32">IF($AE109&gt;0,(1-discount_DZK)*AO109,0)</f>
        <v>0</v>
      </c>
      <c r="AQ109"/>
      <c r="AR109" s="3">
        <v>1</v>
      </c>
      <c r="AS109" s="468">
        <f t="shared" ref="AS109:AT118" ca="1" si="33">IF($AR109=1,$AK$136,1)*AO109</f>
        <v>2.3921715631192404</v>
      </c>
      <c r="AT109" s="235">
        <f t="shared" ca="1" si="33"/>
        <v>0</v>
      </c>
      <c r="AY109" s="177" t="s">
        <v>22</v>
      </c>
      <c r="AZ109" s="207"/>
      <c r="BA109" s="208"/>
      <c r="BB109" s="208"/>
      <c r="BC109" s="208"/>
      <c r="BD109" s="208"/>
      <c r="BE109" s="208"/>
      <c r="BF109" s="208"/>
      <c r="BG109" s="208"/>
      <c r="BH109" s="209"/>
      <c r="BI109" s="210">
        <v>1</v>
      </c>
      <c r="BJ109" s="208"/>
      <c r="BK109" s="208"/>
      <c r="BL109" s="208"/>
      <c r="BM109" s="208"/>
      <c r="BN109" s="208"/>
      <c r="BO109" s="211"/>
      <c r="BP109" s="207"/>
      <c r="BQ109" s="208"/>
      <c r="BR109" s="208"/>
      <c r="BS109" s="208"/>
      <c r="BT109" s="208"/>
      <c r="BU109" s="208"/>
      <c r="BV109" s="208"/>
      <c r="BW109" s="208"/>
      <c r="BX109" s="209"/>
    </row>
    <row r="110" spans="1:76" s="17" customFormat="1" outlineLevel="1">
      <c r="A110"/>
      <c r="B110" s="1" t="s">
        <v>21</v>
      </c>
      <c r="C110"/>
      <c r="D110" s="188" t="s">
        <v>23</v>
      </c>
      <c r="E110" s="193">
        <v>245</v>
      </c>
      <c r="F110" s="189">
        <v>0</v>
      </c>
      <c r="G110" s="189">
        <v>95</v>
      </c>
      <c r="H110" s="189">
        <v>288</v>
      </c>
      <c r="I110" s="189">
        <v>278</v>
      </c>
      <c r="J110" s="189">
        <v>480</v>
      </c>
      <c r="K110" s="189">
        <v>623.59447</v>
      </c>
      <c r="L110" s="189">
        <v>92</v>
      </c>
      <c r="M110" s="189">
        <v>244</v>
      </c>
      <c r="N110" s="189">
        <v>218</v>
      </c>
      <c r="O110" s="189">
        <v>164</v>
      </c>
      <c r="P110" s="189">
        <v>109</v>
      </c>
      <c r="Q110" s="189">
        <v>57</v>
      </c>
      <c r="R110" s="189">
        <v>40</v>
      </c>
      <c r="S110" s="189">
        <v>20</v>
      </c>
      <c r="T110" s="189">
        <v>241.95</v>
      </c>
      <c r="U110" s="189">
        <v>313.84778</v>
      </c>
      <c r="V110" s="189">
        <v>379.48995000000002</v>
      </c>
      <c r="W110" s="189">
        <v>422.23273</v>
      </c>
      <c r="X110" s="189">
        <v>452.69001000000003</v>
      </c>
      <c r="Y110" s="189">
        <v>473.34958</v>
      </c>
      <c r="Z110" s="189">
        <v>510.73602</v>
      </c>
      <c r="AA110" s="189">
        <v>542.39652000000001</v>
      </c>
      <c r="AB110" s="189">
        <v>562.51218999999992</v>
      </c>
      <c r="AC110" s="194">
        <v>603.42469000000006</v>
      </c>
      <c r="AD110" s="452">
        <f t="shared" ref="AD110:AE118" ca="1" si="34">SUMIFS($G$53:$G$98,$F$53:$F$98,$D110,$D$53:$D$98,$B110,$E$53:$E$98,AD$107)</f>
        <v>7618999</v>
      </c>
      <c r="AE110" s="273">
        <f t="shared" si="34"/>
        <v>0</v>
      </c>
      <c r="AF110" s="180" cm="1">
        <f t="array" aca="1" ref="AF110" ca="1">(SUMPRODUCT(E110:AC110,$E$119:$AC$119)+SUMPRODUCT(E110:AC110,$E$120:$AC$120,AZ110:BX110))/(SUMPRODUCT($E$119:$AC$119*(E110:AC110&lt;&gt;0))+SUMPRODUCT($E$120:$AC$120*AZ110:BX110*(E110:AC110&lt;&gt;0)))</f>
        <v>306.79948816784452</v>
      </c>
      <c r="AG110" s="228">
        <f ca="1">AF110*(AD110+AE110)/(SUMPRODUCT($AF$109:$AF$118,$AD$109:$AD$118)+SUMPRODUCT($AF$109:$AF$118,$AE$109:$AE$118))</f>
        <v>0.31124725571542117</v>
      </c>
      <c r="AH110" s="236">
        <f ca="1">IFERROR(AG110*$C$104/(AD110+AE110*(1-discount_DZK)),0)</f>
        <v>2.8714626719948306</v>
      </c>
      <c r="AI110" s="235">
        <v>0</v>
      </c>
      <c r="AJ110" s="231">
        <f ca="1">AD110*AH110+AE110*AI110</f>
        <v>21877671.226465944</v>
      </c>
      <c r="AK110" s="244">
        <f ca="1">IF(Tariff_SimCalculation!X9,SUMIFS($AJ$109:$AJ$115,Tariff_SimCalculation!$X$8:$X$14,1)/(SUMIFS($AD$109:$AD$115,Tariff_SimCalculation!$X$8:$X$14,1)+SUMIFS($AE$109:$AE$115,Tariff_SimCalculation!$X$8:$X$14,1)*(1-discount_DZK)),"")</f>
        <v>2.213827549689642</v>
      </c>
      <c r="AL110" s="235"/>
      <c r="AM110"/>
      <c r="AO110" s="235">
        <f t="shared" ref="AO110:AO115" ca="1" si="35">IF(AK110&lt;&gt;"",AK110,AH110)</f>
        <v>2.213827549689642</v>
      </c>
      <c r="AP110" s="235">
        <f t="shared" ref="AP110" si="36">IF($AE110&gt;0,(1-discount_DZK)*AO110,0)</f>
        <v>0</v>
      </c>
      <c r="AQ110"/>
      <c r="AR110" s="3">
        <v>1</v>
      </c>
      <c r="AS110" s="468">
        <f t="shared" ca="1" si="33"/>
        <v>2.3921715631192404</v>
      </c>
      <c r="AT110" s="235">
        <f t="shared" ca="1" si="33"/>
        <v>0</v>
      </c>
      <c r="AY110" s="178" t="s">
        <v>23</v>
      </c>
      <c r="AZ110" s="212"/>
      <c r="BA110" s="213"/>
      <c r="BB110" s="213">
        <v>1</v>
      </c>
      <c r="BC110" s="213"/>
      <c r="BD110" s="213"/>
      <c r="BE110" s="213"/>
      <c r="BF110" s="213"/>
      <c r="BG110" s="213"/>
      <c r="BH110" s="214"/>
      <c r="BI110" s="215"/>
      <c r="BJ110" s="213"/>
      <c r="BK110" s="213"/>
      <c r="BL110" s="213"/>
      <c r="BM110" s="213">
        <v>1</v>
      </c>
      <c r="BN110" s="213"/>
      <c r="BO110" s="216"/>
      <c r="BP110" s="212"/>
      <c r="BQ110" s="213"/>
      <c r="BR110" s="213"/>
      <c r="BS110" s="213"/>
      <c r="BT110" s="213"/>
      <c r="BU110" s="213"/>
      <c r="BV110" s="213"/>
      <c r="BW110" s="213"/>
      <c r="BX110" s="214"/>
    </row>
    <row r="111" spans="1:76" s="17" customFormat="1" outlineLevel="1">
      <c r="A111"/>
      <c r="B111" s="1" t="s">
        <v>21</v>
      </c>
      <c r="C111"/>
      <c r="D111" s="188" t="s">
        <v>24</v>
      </c>
      <c r="E111" s="193">
        <v>340</v>
      </c>
      <c r="F111" s="189">
        <v>95</v>
      </c>
      <c r="G111" s="189">
        <v>0</v>
      </c>
      <c r="H111" s="189">
        <v>383</v>
      </c>
      <c r="I111" s="189">
        <v>373</v>
      </c>
      <c r="J111" s="189">
        <v>575</v>
      </c>
      <c r="K111" s="189">
        <v>718.59447</v>
      </c>
      <c r="L111" s="189">
        <v>3</v>
      </c>
      <c r="M111" s="189">
        <v>339</v>
      </c>
      <c r="N111" s="189">
        <v>313</v>
      </c>
      <c r="O111" s="189">
        <v>259</v>
      </c>
      <c r="P111" s="189">
        <v>204</v>
      </c>
      <c r="Q111" s="189">
        <v>152</v>
      </c>
      <c r="R111" s="189">
        <v>135</v>
      </c>
      <c r="S111" s="189">
        <v>115</v>
      </c>
      <c r="T111" s="189">
        <v>336.95</v>
      </c>
      <c r="U111" s="189">
        <v>408.84778</v>
      </c>
      <c r="V111" s="189">
        <v>474.48995000000002</v>
      </c>
      <c r="W111" s="189">
        <v>517.23272999999995</v>
      </c>
      <c r="X111" s="189">
        <v>547.69001000000003</v>
      </c>
      <c r="Y111" s="189">
        <v>568.34958000000006</v>
      </c>
      <c r="Z111" s="189">
        <v>605.73602000000005</v>
      </c>
      <c r="AA111" s="189">
        <v>637.39652000000001</v>
      </c>
      <c r="AB111" s="189">
        <v>657.51218999999992</v>
      </c>
      <c r="AC111" s="194">
        <v>698.42469000000006</v>
      </c>
      <c r="AD111" s="452">
        <f t="shared" ca="1" si="34"/>
        <v>818029</v>
      </c>
      <c r="AE111" s="273">
        <f t="shared" ca="1" si="34"/>
        <v>0</v>
      </c>
      <c r="AF111" s="180" cm="1">
        <f t="array" aca="1" ref="AF111" ca="1">(SUMPRODUCT(E111:AC111,$E$119:$AC$119)+SUMPRODUCT(E111:AC111,$E$120:$AC$120,AZ111:BX111))/(SUMPRODUCT($E$119:$AC$119*(E111:AC111&lt;&gt;0))+SUMPRODUCT($E$120:$AC$120*AZ111:BX111*(E111:AC111&lt;&gt;0)))</f>
        <v>396.10625975252731</v>
      </c>
      <c r="AG111" s="228">
        <f t="shared" ref="AG111:AG118" ca="1" si="37">AF111*(AD111+AE111)/(SUMPRODUCT($AF$109:$AF$118,$AD$109:$AD$118)+SUMPRODUCT($AF$109:$AF$118,$AE$109:$AE$118))</f>
        <v>4.3145289704332922E-2</v>
      </c>
      <c r="AH111" s="236">
        <f t="shared" ref="AH111" ca="1" si="38">IFERROR(AG111*$C$104/(AD111+AE111*(1-discount_DZK)),0)</f>
        <v>3.7073215011382845</v>
      </c>
      <c r="AI111" s="235">
        <f ca="1">(1-discount_DZK)*AH111</f>
        <v>3.3365893510244562</v>
      </c>
      <c r="AJ111" s="231">
        <f ca="1">AD111*AH111+AE111*AI111</f>
        <v>3032696.5002546497</v>
      </c>
      <c r="AK111" s="244">
        <f ca="1">IF(Tariff_SimCalculation!X10,SUMIFS($AJ$109:$AJ$115,Tariff_SimCalculation!$X$8:$X$14,1)/(SUMIFS($AD$109:$AD$115,Tariff_SimCalculation!$X$8:$X$14,1)+SUMIFS($AE$109:$AE$115,Tariff_SimCalculation!$X$8:$X$14,1)*(1-discount_DZK)),"")</f>
        <v>2.213827549689642</v>
      </c>
      <c r="AL111" s="235">
        <f ca="1">(1-discount_DZK)*AK111</f>
        <v>1.9924447947206778</v>
      </c>
      <c r="AM111"/>
      <c r="AO111" s="235">
        <f t="shared" ca="1" si="35"/>
        <v>2.213827549689642</v>
      </c>
      <c r="AP111" s="235">
        <f ca="1">(1-discount_DZK)*AO111</f>
        <v>1.9924447947206778</v>
      </c>
      <c r="AQ111"/>
      <c r="AR111" s="3">
        <v>1</v>
      </c>
      <c r="AS111" s="468">
        <f t="shared" ca="1" si="33"/>
        <v>2.3921715631192404</v>
      </c>
      <c r="AT111" s="468">
        <f ca="1">IF($AR111=1,$AK$136,1)*AP111</f>
        <v>2.1529544068073165</v>
      </c>
      <c r="AY111" s="178" t="s">
        <v>24</v>
      </c>
      <c r="AZ111" s="212"/>
      <c r="BA111" s="213">
        <v>1</v>
      </c>
      <c r="BB111" s="213"/>
      <c r="BC111" s="213"/>
      <c r="BD111" s="213"/>
      <c r="BE111" s="213"/>
      <c r="BF111" s="213"/>
      <c r="BG111" s="213"/>
      <c r="BH111" s="214"/>
      <c r="BI111" s="215"/>
      <c r="BJ111" s="213"/>
      <c r="BK111" s="213"/>
      <c r="BL111" s="213"/>
      <c r="BM111" s="213"/>
      <c r="BN111" s="213"/>
      <c r="BO111" s="216"/>
      <c r="BP111" s="212"/>
      <c r="BQ111" s="213"/>
      <c r="BR111" s="213"/>
      <c r="BS111" s="213"/>
      <c r="BT111" s="213"/>
      <c r="BU111" s="213"/>
      <c r="BV111" s="213"/>
      <c r="BW111" s="213"/>
      <c r="BX111" s="214"/>
    </row>
    <row r="112" spans="1:76" s="17" customFormat="1" outlineLevel="1">
      <c r="A112"/>
      <c r="B112" s="1" t="s">
        <v>21</v>
      </c>
      <c r="C112"/>
      <c r="D112" s="188" t="s">
        <v>39</v>
      </c>
      <c r="E112" s="193">
        <v>49</v>
      </c>
      <c r="F112" s="189">
        <v>288</v>
      </c>
      <c r="G112" s="189">
        <v>383</v>
      </c>
      <c r="H112" s="189">
        <v>0</v>
      </c>
      <c r="I112" s="189">
        <v>10</v>
      </c>
      <c r="J112" s="189">
        <v>284</v>
      </c>
      <c r="K112" s="189">
        <v>427.59447</v>
      </c>
      <c r="L112" s="189">
        <v>380</v>
      </c>
      <c r="M112" s="189">
        <v>48</v>
      </c>
      <c r="N112" s="189">
        <v>70</v>
      </c>
      <c r="O112" s="189">
        <v>124</v>
      </c>
      <c r="P112" s="189">
        <v>179</v>
      </c>
      <c r="Q112" s="189">
        <v>231</v>
      </c>
      <c r="R112" s="189">
        <v>248</v>
      </c>
      <c r="S112" s="189">
        <v>268</v>
      </c>
      <c r="T112" s="189">
        <v>46.05</v>
      </c>
      <c r="U112" s="189">
        <v>117.84778</v>
      </c>
      <c r="V112" s="189">
        <v>183.48994999999999</v>
      </c>
      <c r="W112" s="189">
        <v>226.23273</v>
      </c>
      <c r="X112" s="189">
        <v>256.69001000000003</v>
      </c>
      <c r="Y112" s="189">
        <v>277.34958</v>
      </c>
      <c r="Z112" s="189">
        <v>314.73602</v>
      </c>
      <c r="AA112" s="189">
        <v>346.39652000000001</v>
      </c>
      <c r="AB112" s="189">
        <v>366.51218999999998</v>
      </c>
      <c r="AC112" s="194">
        <v>407.42469</v>
      </c>
      <c r="AD112" s="452">
        <f t="shared" ca="1" si="34"/>
        <v>0</v>
      </c>
      <c r="AE112" s="273">
        <f t="shared" si="34"/>
        <v>0</v>
      </c>
      <c r="AF112" s="180" cm="1">
        <f t="array" aca="1" ref="AF112" ca="1">(SUMPRODUCT(E112:AC112,$E$119:$AC$119)+SUMPRODUCT(E112:AC112,$E$120:$AC$120,AZ112:BX112))/(SUMPRODUCT($E$119:$AC$119*(E112:AC112&lt;&gt;0))+SUMPRODUCT($E$120:$AC$120*AZ112:BX112*(E112:AC112&lt;&gt;0)))</f>
        <v>142.30832008681622</v>
      </c>
      <c r="AG112" s="228">
        <f t="shared" ca="1" si="37"/>
        <v>0</v>
      </c>
      <c r="AH112" s="236">
        <f t="shared" ref="AH112" ca="1" si="39">IFERROR(AG112*$C$104/(AD112+AE112*(1-discount_DZK)),0)</f>
        <v>0</v>
      </c>
      <c r="AI112" s="235">
        <v>0</v>
      </c>
      <c r="AJ112" s="231">
        <f t="shared" ref="AJ112:AJ118" ca="1" si="40">AD112*AH112+AE112*AI112</f>
        <v>0</v>
      </c>
      <c r="AK112" s="244">
        <f ca="1">IF(Tariff_SimCalculation!X11,SUMIFS($AJ$109:$AJ$115,Tariff_SimCalculation!$X$8:$X$14,1)/(SUMIFS($AD$109:$AD$115,Tariff_SimCalculation!$X$8:$X$14,1)+SUMIFS($AE$109:$AE$115,Tariff_SimCalculation!$X$8:$X$14,1)*(1-discount_DZK)),"")</f>
        <v>2.213827549689642</v>
      </c>
      <c r="AL112" s="235"/>
      <c r="AM112"/>
      <c r="AO112" s="235">
        <f t="shared" ca="1" si="35"/>
        <v>2.213827549689642</v>
      </c>
      <c r="AP112" s="235">
        <f t="shared" ref="AP112" si="41">IF($AE112&gt;0,(1-discount_DZK)*AO112,0)</f>
        <v>0</v>
      </c>
      <c r="AQ112"/>
      <c r="AR112" s="3">
        <v>1</v>
      </c>
      <c r="AS112" s="468">
        <f t="shared" ca="1" si="33"/>
        <v>2.3921715631192404</v>
      </c>
      <c r="AT112" s="235">
        <f t="shared" ca="1" si="33"/>
        <v>0</v>
      </c>
      <c r="AY112" s="178" t="s">
        <v>39</v>
      </c>
      <c r="AZ112" s="212"/>
      <c r="BA112" s="213"/>
      <c r="BB112" s="213"/>
      <c r="BC112" s="213"/>
      <c r="BD112" s="213"/>
      <c r="BE112" s="213"/>
      <c r="BF112" s="213"/>
      <c r="BG112" s="213"/>
      <c r="BH112" s="214"/>
      <c r="BI112" s="215"/>
      <c r="BJ112" s="213"/>
      <c r="BK112" s="213"/>
      <c r="BL112" s="213"/>
      <c r="BM112" s="213"/>
      <c r="BN112" s="213"/>
      <c r="BO112" s="216"/>
      <c r="BP112" s="212"/>
      <c r="BQ112" s="213"/>
      <c r="BR112" s="213"/>
      <c r="BS112" s="213"/>
      <c r="BT112" s="213"/>
      <c r="BU112" s="213"/>
      <c r="BV112" s="213"/>
      <c r="BW112" s="213"/>
      <c r="BX112" s="214"/>
    </row>
    <row r="113" spans="1:76" s="17" customFormat="1" outlineLevel="1">
      <c r="A113"/>
      <c r="B113" s="1" t="s">
        <v>21</v>
      </c>
      <c r="C113"/>
      <c r="D113" s="188" t="s">
        <v>34</v>
      </c>
      <c r="E113" s="193">
        <v>39</v>
      </c>
      <c r="F113" s="189">
        <v>278</v>
      </c>
      <c r="G113" s="189">
        <v>373</v>
      </c>
      <c r="H113" s="189">
        <v>10</v>
      </c>
      <c r="I113" s="189">
        <v>0</v>
      </c>
      <c r="J113" s="189">
        <v>274</v>
      </c>
      <c r="K113" s="189">
        <v>417.59447</v>
      </c>
      <c r="L113" s="189">
        <v>370</v>
      </c>
      <c r="M113" s="189">
        <v>38</v>
      </c>
      <c r="N113" s="189">
        <v>60</v>
      </c>
      <c r="O113" s="189">
        <v>114</v>
      </c>
      <c r="P113" s="189">
        <v>169</v>
      </c>
      <c r="Q113" s="189">
        <v>221</v>
      </c>
      <c r="R113" s="189">
        <v>238</v>
      </c>
      <c r="S113" s="189">
        <v>258</v>
      </c>
      <c r="T113" s="189">
        <v>36.049999999999997</v>
      </c>
      <c r="U113" s="189">
        <v>107.84778</v>
      </c>
      <c r="V113" s="189">
        <v>173.48994999999999</v>
      </c>
      <c r="W113" s="189">
        <v>216.23273</v>
      </c>
      <c r="X113" s="189">
        <v>246.69001</v>
      </c>
      <c r="Y113" s="189">
        <v>267.34958</v>
      </c>
      <c r="Z113" s="189">
        <v>304.73602</v>
      </c>
      <c r="AA113" s="189">
        <v>336.39652000000001</v>
      </c>
      <c r="AB113" s="189">
        <v>356.51218999999998</v>
      </c>
      <c r="AC113" s="194">
        <v>397.42469</v>
      </c>
      <c r="AD113" s="452">
        <f t="shared" ca="1" si="34"/>
        <v>0</v>
      </c>
      <c r="AE113" s="273">
        <f t="shared" si="34"/>
        <v>0</v>
      </c>
      <c r="AF113" s="180" cm="1">
        <f t="array" aca="1" ref="AF113" ca="1">(SUMPRODUCT(E113:AC113,$E$119:$AC$119)+SUMPRODUCT(E113:AC113,$E$120:$AC$120,AZ113:BX113))/(SUMPRODUCT($E$119:$AC$119*(E113:AC113&lt;&gt;0))+SUMPRODUCT($E$120:$AC$120*AZ113:BX113*(E113:AC113&lt;&gt;0)))</f>
        <v>124.21073434330486</v>
      </c>
      <c r="AG113" s="228">
        <f t="shared" ca="1" si="37"/>
        <v>0</v>
      </c>
      <c r="AH113" s="236">
        <f t="shared" ref="AH113" ca="1" si="42">IFERROR(AG113*$C$104/(AD113+AE113*(1-discount_DZK)),0)</f>
        <v>0</v>
      </c>
      <c r="AI113" s="235">
        <v>0</v>
      </c>
      <c r="AJ113" s="231">
        <f t="shared" ca="1" si="40"/>
        <v>0</v>
      </c>
      <c r="AK113" s="244">
        <f ca="1">IF(Tariff_SimCalculation!X12,SUMIFS($AJ$109:$AJ$115,Tariff_SimCalculation!$X$8:$X$14,1)/(SUMIFS($AD$109:$AD$115,Tariff_SimCalculation!$X$8:$X$14,1)+SUMIFS($AE$109:$AE$115,Tariff_SimCalculation!$X$8:$X$14,1)*(1-discount_DZK)),"")</f>
        <v>2.213827549689642</v>
      </c>
      <c r="AL113" s="235"/>
      <c r="AM113"/>
      <c r="AO113" s="235">
        <f t="shared" ca="1" si="35"/>
        <v>2.213827549689642</v>
      </c>
      <c r="AP113" s="235">
        <f t="shared" ref="AP113" si="43">IF($AE113&gt;0,(1-discount_DZK)*AO113,0)</f>
        <v>0</v>
      </c>
      <c r="AQ113"/>
      <c r="AR113" s="3">
        <v>1</v>
      </c>
      <c r="AS113" s="468">
        <f t="shared" ca="1" si="33"/>
        <v>2.3921715631192404</v>
      </c>
      <c r="AT113" s="235">
        <f t="shared" ca="1" si="33"/>
        <v>0</v>
      </c>
      <c r="AY113" s="178" t="s">
        <v>34</v>
      </c>
      <c r="AZ113" s="212"/>
      <c r="BA113" s="213"/>
      <c r="BB113" s="213"/>
      <c r="BC113" s="213"/>
      <c r="BD113" s="213"/>
      <c r="BE113" s="213"/>
      <c r="BF113" s="213"/>
      <c r="BG113" s="213"/>
      <c r="BH113" s="214"/>
      <c r="BI113" s="215"/>
      <c r="BJ113" s="213"/>
      <c r="BK113" s="213"/>
      <c r="BL113" s="213"/>
      <c r="BM113" s="213"/>
      <c r="BN113" s="213"/>
      <c r="BO113" s="216"/>
      <c r="BP113" s="212"/>
      <c r="BQ113" s="213"/>
      <c r="BR113" s="213"/>
      <c r="BS113" s="213"/>
      <c r="BT113" s="213"/>
      <c r="BU113" s="213"/>
      <c r="BV113" s="213"/>
      <c r="BW113" s="213"/>
      <c r="BX113" s="214"/>
    </row>
    <row r="114" spans="1:76" s="17" customFormat="1" outlineLevel="1">
      <c r="A114"/>
      <c r="B114" s="1" t="s">
        <v>21</v>
      </c>
      <c r="C114"/>
      <c r="D114" s="188" t="s">
        <v>33</v>
      </c>
      <c r="E114" s="193">
        <v>241</v>
      </c>
      <c r="F114" s="189">
        <v>480</v>
      </c>
      <c r="G114" s="189">
        <v>575</v>
      </c>
      <c r="H114" s="189">
        <v>284</v>
      </c>
      <c r="I114" s="189">
        <v>274</v>
      </c>
      <c r="J114" s="189">
        <v>0</v>
      </c>
      <c r="K114" s="189">
        <v>143.59447</v>
      </c>
      <c r="L114" s="189">
        <v>572</v>
      </c>
      <c r="M114" s="189">
        <v>240</v>
      </c>
      <c r="N114" s="189">
        <v>262</v>
      </c>
      <c r="O114" s="189">
        <v>316</v>
      </c>
      <c r="P114" s="189">
        <v>371</v>
      </c>
      <c r="Q114" s="189">
        <v>423</v>
      </c>
      <c r="R114" s="189">
        <v>440</v>
      </c>
      <c r="S114" s="189">
        <v>460</v>
      </c>
      <c r="T114" s="189">
        <v>238.05</v>
      </c>
      <c r="U114" s="189">
        <v>166.15222</v>
      </c>
      <c r="V114" s="189">
        <v>100.51005000000001</v>
      </c>
      <c r="W114" s="189">
        <v>57.767269999999996</v>
      </c>
      <c r="X114" s="189">
        <v>27.309989999999999</v>
      </c>
      <c r="Y114" s="189">
        <v>47.969560000000001</v>
      </c>
      <c r="Z114" s="189">
        <v>85.355999999999995</v>
      </c>
      <c r="AA114" s="189">
        <v>117.01650000000001</v>
      </c>
      <c r="AB114" s="189">
        <v>137.13216999999992</v>
      </c>
      <c r="AC114" s="194">
        <v>178.04467000000005</v>
      </c>
      <c r="AD114" s="452">
        <f t="shared" ca="1" si="34"/>
        <v>0</v>
      </c>
      <c r="AE114" s="273">
        <f t="shared" si="34"/>
        <v>0</v>
      </c>
      <c r="AF114" s="180" cm="1">
        <f t="array" aca="1" ref="AF114" ca="1">(SUMPRODUCT(E114:AC114,$E$119:$AC$119)+SUMPRODUCT(E114:AC114,$E$120:$AC$120,AZ114:BX114))/(SUMPRODUCT($E$119:$AC$119*(E114:AC114&lt;&gt;0))+SUMPRODUCT($E$120:$AC$120*AZ114:BX114*(E114:AC114&lt;&gt;0)))</f>
        <v>232.42888240160514</v>
      </c>
      <c r="AG114" s="228">
        <f t="shared" ca="1" si="37"/>
        <v>0</v>
      </c>
      <c r="AH114" s="236">
        <f t="shared" ref="AH114" ca="1" si="44">IFERROR(AG114*$C$104/(AD114+AE114*(1-discount_DZK)),0)</f>
        <v>0</v>
      </c>
      <c r="AI114" s="235">
        <v>0</v>
      </c>
      <c r="AJ114" s="231">
        <f t="shared" ca="1" si="40"/>
        <v>0</v>
      </c>
      <c r="AK114" s="244">
        <f ca="1">IF(Tariff_SimCalculation!X13,SUMIFS($AJ$109:$AJ$115,Tariff_SimCalculation!$X$8:$X$14,1)/(SUMIFS($AD$109:$AD$115,Tariff_SimCalculation!$X$8:$X$14,1)+SUMIFS($AE$109:$AE$115,Tariff_SimCalculation!$X$8:$X$14,1)*(1-discount_DZK)),"")</f>
        <v>2.213827549689642</v>
      </c>
      <c r="AL114" s="235"/>
      <c r="AM114"/>
      <c r="AO114" s="235">
        <f t="shared" ca="1" si="35"/>
        <v>2.213827549689642</v>
      </c>
      <c r="AP114" s="235">
        <f t="shared" ref="AP114" si="45">IF($AE114&gt;0,(1-discount_DZK)*AO114,0)</f>
        <v>0</v>
      </c>
      <c r="AQ114"/>
      <c r="AR114" s="3">
        <v>1</v>
      </c>
      <c r="AS114" s="468">
        <f t="shared" ca="1" si="33"/>
        <v>2.3921715631192404</v>
      </c>
      <c r="AT114" s="235">
        <f t="shared" ca="1" si="33"/>
        <v>0</v>
      </c>
      <c r="AY114" s="178" t="s">
        <v>33</v>
      </c>
      <c r="AZ114" s="212"/>
      <c r="BA114" s="213"/>
      <c r="BB114" s="213"/>
      <c r="BC114" s="213"/>
      <c r="BD114" s="213"/>
      <c r="BE114" s="213"/>
      <c r="BF114" s="213"/>
      <c r="BG114" s="213"/>
      <c r="BH114" s="214"/>
      <c r="BI114" s="215"/>
      <c r="BJ114" s="213"/>
      <c r="BK114" s="213"/>
      <c r="BL114" s="213"/>
      <c r="BM114" s="213"/>
      <c r="BN114" s="213"/>
      <c r="BO114" s="216"/>
      <c r="BP114" s="212"/>
      <c r="BQ114" s="213"/>
      <c r="BR114" s="213"/>
      <c r="BS114" s="213"/>
      <c r="BT114" s="213"/>
      <c r="BU114" s="213"/>
      <c r="BV114" s="213"/>
      <c r="BW114" s="213"/>
      <c r="BX114" s="214"/>
    </row>
    <row r="115" spans="1:76" s="17" customFormat="1" outlineLevel="1">
      <c r="A115"/>
      <c r="B115" s="1" t="s">
        <v>21</v>
      </c>
      <c r="C115"/>
      <c r="D115" s="188" t="s">
        <v>20</v>
      </c>
      <c r="E115" s="193">
        <v>384.59447</v>
      </c>
      <c r="F115" s="189">
        <v>623.59447</v>
      </c>
      <c r="G115" s="189">
        <v>718.59447</v>
      </c>
      <c r="H115" s="189">
        <v>427.59447</v>
      </c>
      <c r="I115" s="189">
        <v>417.59447</v>
      </c>
      <c r="J115" s="189">
        <v>143.59447</v>
      </c>
      <c r="K115" s="189">
        <v>0</v>
      </c>
      <c r="L115" s="189">
        <v>715.59447</v>
      </c>
      <c r="M115" s="189">
        <v>383.59447</v>
      </c>
      <c r="N115" s="189">
        <v>405.59447</v>
      </c>
      <c r="O115" s="189">
        <v>459.59447</v>
      </c>
      <c r="P115" s="189">
        <v>514.59447</v>
      </c>
      <c r="Q115" s="189">
        <v>566.59447</v>
      </c>
      <c r="R115" s="189">
        <v>583.59447</v>
      </c>
      <c r="S115" s="189">
        <v>603.59447</v>
      </c>
      <c r="T115" s="189">
        <v>381.64447000000001</v>
      </c>
      <c r="U115" s="189">
        <v>309.74669</v>
      </c>
      <c r="V115" s="189">
        <v>244.10452000000001</v>
      </c>
      <c r="W115" s="189">
        <v>201.36174</v>
      </c>
      <c r="X115" s="189">
        <v>170.90446</v>
      </c>
      <c r="Y115" s="189">
        <v>150.24489</v>
      </c>
      <c r="Z115" s="189">
        <v>112.85845</v>
      </c>
      <c r="AA115" s="189">
        <v>81.197949999999992</v>
      </c>
      <c r="AB115" s="189">
        <v>61.082280000000026</v>
      </c>
      <c r="AC115" s="194">
        <v>20.169780000000003</v>
      </c>
      <c r="AD115" s="452">
        <f t="shared" ca="1" si="34"/>
        <v>6234139</v>
      </c>
      <c r="AE115" s="273">
        <f t="shared" ca="1" si="34"/>
        <v>521331</v>
      </c>
      <c r="AF115" s="180" cm="1">
        <f t="array" aca="1" ref="AF115" ca="1">(SUMPRODUCT(E115:AC115,$E$119:$AC$119)+SUMPRODUCT(E115:AC115,$E$120:$AC$120,AZ115:BX115))/(SUMPRODUCT($E$119:$AC$119*(E115:AC115&lt;&gt;0))+SUMPRODUCT($E$120:$AC$120*AZ115:BX115*(E115:AC115&lt;&gt;0)))</f>
        <v>382.43403479247212</v>
      </c>
      <c r="AG115" s="228">
        <f t="shared" ca="1" si="37"/>
        <v>0.34400526439818507</v>
      </c>
      <c r="AH115" s="236">
        <f t="shared" ref="AH115" ca="1" si="46">IFERROR(AG115*$C$104/(AD115+AE115*(1-discount_DZK)),0)</f>
        <v>3.6071948513086447</v>
      </c>
      <c r="AI115" s="235">
        <f ca="1">(1-discount_DZK)*AH115</f>
        <v>3.2464753661777803</v>
      </c>
      <c r="AJ115" s="231">
        <f t="shared" ca="1" si="40"/>
        <v>24180242.35226725</v>
      </c>
      <c r="AK115" s="244">
        <f ca="1">IF(Tariff_SimCalculation!X14,SUMIFS($AJ$109:$AJ$115,Tariff_SimCalculation!$X$8:$X$14,1)/(SUMIFS($AD$109:$AD$115,Tariff_SimCalculation!$X$8:$X$14,1)+SUMIFS($AE$109:$AE$115,Tariff_SimCalculation!$X$8:$X$14,1)*(1-discount_DZK)),"")</f>
        <v>2.213827549689642</v>
      </c>
      <c r="AL115" s="235"/>
      <c r="AM115"/>
      <c r="AO115" s="235">
        <f t="shared" ca="1" si="35"/>
        <v>2.213827549689642</v>
      </c>
      <c r="AP115" s="235">
        <f ca="1">(1-discount_DZK)*AO115</f>
        <v>1.9924447947206778</v>
      </c>
      <c r="AQ115"/>
      <c r="AR115" s="3">
        <v>1</v>
      </c>
      <c r="AS115" s="468">
        <f t="shared" ca="1" si="33"/>
        <v>2.3921715631192404</v>
      </c>
      <c r="AT115" s="468">
        <f t="shared" ca="1" si="33"/>
        <v>2.1529544068073165</v>
      </c>
      <c r="AY115" s="178" t="s">
        <v>20</v>
      </c>
      <c r="AZ115" s="212"/>
      <c r="BA115" s="213"/>
      <c r="BB115" s="213"/>
      <c r="BC115" s="213"/>
      <c r="BD115" s="213"/>
      <c r="BE115" s="213"/>
      <c r="BF115" s="213"/>
      <c r="BG115" s="213"/>
      <c r="BH115" s="214"/>
      <c r="BI115" s="215"/>
      <c r="BJ115" s="213"/>
      <c r="BK115" s="213"/>
      <c r="BL115" s="213"/>
      <c r="BM115" s="213"/>
      <c r="BN115" s="213"/>
      <c r="BO115" s="216"/>
      <c r="BP115" s="212"/>
      <c r="BQ115" s="213"/>
      <c r="BR115" s="213"/>
      <c r="BS115" s="213"/>
      <c r="BT115" s="213"/>
      <c r="BU115" s="213">
        <v>1</v>
      </c>
      <c r="BV115" s="213">
        <v>1</v>
      </c>
      <c r="BW115" s="213">
        <v>1</v>
      </c>
      <c r="BX115" s="214">
        <v>1</v>
      </c>
    </row>
    <row r="116" spans="1:76" s="17" customFormat="1" outlineLevel="1">
      <c r="A116"/>
      <c r="B116" s="1" t="s">
        <v>21</v>
      </c>
      <c r="C116"/>
      <c r="D116" s="188" t="s">
        <v>56</v>
      </c>
      <c r="E116" s="193">
        <v>337</v>
      </c>
      <c r="F116" s="189">
        <v>92</v>
      </c>
      <c r="G116" s="189">
        <v>3</v>
      </c>
      <c r="H116" s="189">
        <v>380</v>
      </c>
      <c r="I116" s="189">
        <v>370</v>
      </c>
      <c r="J116" s="189">
        <v>572</v>
      </c>
      <c r="K116" s="189">
        <v>715.59447</v>
      </c>
      <c r="L116" s="189">
        <v>0</v>
      </c>
      <c r="M116" s="189">
        <v>336</v>
      </c>
      <c r="N116" s="189">
        <v>310</v>
      </c>
      <c r="O116" s="189">
        <v>412</v>
      </c>
      <c r="P116" s="189">
        <v>467</v>
      </c>
      <c r="Q116" s="189">
        <v>519</v>
      </c>
      <c r="R116" s="189">
        <v>536</v>
      </c>
      <c r="S116" s="189">
        <v>556</v>
      </c>
      <c r="T116" s="189">
        <v>334.05</v>
      </c>
      <c r="U116" s="189">
        <v>405.84778</v>
      </c>
      <c r="V116" s="189">
        <v>471.48995000000002</v>
      </c>
      <c r="W116" s="189">
        <v>514.23272999999995</v>
      </c>
      <c r="X116" s="189">
        <v>544.69001000000003</v>
      </c>
      <c r="Y116" s="189">
        <v>565.34958000000006</v>
      </c>
      <c r="Z116" s="189">
        <v>602.73602000000005</v>
      </c>
      <c r="AA116" s="189">
        <v>634.39652000000001</v>
      </c>
      <c r="AB116" s="189">
        <v>654.51218999999992</v>
      </c>
      <c r="AC116" s="194">
        <v>695.42469000000006</v>
      </c>
      <c r="AD116" s="452">
        <f t="shared" ca="1" si="34"/>
        <v>0</v>
      </c>
      <c r="AE116" s="273">
        <f t="shared" si="34"/>
        <v>0</v>
      </c>
      <c r="AF116" s="180" cm="1">
        <f t="array" aca="1" ref="AF116" ca="1">(SUMPRODUCT(E116:AC116,$E$119:$AC$119)+SUMPRODUCT(E116:AC116,$E$120:$AC$120,AZ116:BX116))/(SUMPRODUCT($E$119:$AC$119*(E116:AC116&lt;&gt;0))+SUMPRODUCT($E$120:$AC$120*AZ116:BX116*(E116:AC116&lt;&gt;0)))</f>
        <v>393.15072836967789</v>
      </c>
      <c r="AG116" s="228">
        <f t="shared" ca="1" si="37"/>
        <v>0</v>
      </c>
      <c r="AH116" s="236">
        <f t="shared" ref="AH116" ca="1" si="47">IFERROR(AG116*$C$104/(AD116+AE116*(1-discount_DZK)),0)</f>
        <v>0</v>
      </c>
      <c r="AI116" s="235">
        <v>0</v>
      </c>
      <c r="AJ116" s="231">
        <f t="shared" ca="1" si="40"/>
        <v>0</v>
      </c>
      <c r="AL116" s="235"/>
      <c r="AM116" s="243">
        <f ca="1">AH116*(1-discount_storage_entry)</f>
        <v>0</v>
      </c>
      <c r="AO116" s="294">
        <f ca="1">IF(AM116&lt;&gt;"",AM116,AH116)</f>
        <v>0</v>
      </c>
      <c r="AP116" s="235">
        <f t="shared" ref="AP116" si="48">IF($AE116&gt;0,(1-discount_DZK)*AO116,0)</f>
        <v>0</v>
      </c>
      <c r="AQ116"/>
      <c r="AR116" s="3">
        <v>1</v>
      </c>
      <c r="AS116" s="468">
        <f t="shared" ca="1" si="33"/>
        <v>0</v>
      </c>
      <c r="AT116" s="235">
        <f t="shared" ca="1" si="33"/>
        <v>0</v>
      </c>
      <c r="AY116" s="178" t="s">
        <v>56</v>
      </c>
      <c r="AZ116" s="212"/>
      <c r="BA116" s="213"/>
      <c r="BB116" s="213"/>
      <c r="BC116" s="213"/>
      <c r="BD116" s="213"/>
      <c r="BE116" s="213"/>
      <c r="BF116" s="213"/>
      <c r="BG116" s="213"/>
      <c r="BH116" s="214"/>
      <c r="BI116" s="215"/>
      <c r="BJ116" s="213"/>
      <c r="BK116" s="213"/>
      <c r="BL116" s="213"/>
      <c r="BM116" s="213"/>
      <c r="BN116" s="213"/>
      <c r="BO116" s="216"/>
      <c r="BP116" s="212"/>
      <c r="BQ116" s="213"/>
      <c r="BR116" s="213"/>
      <c r="BS116" s="213"/>
      <c r="BT116" s="213"/>
      <c r="BU116" s="213"/>
      <c r="BV116" s="213"/>
      <c r="BW116" s="213"/>
      <c r="BX116" s="214"/>
    </row>
    <row r="117" spans="1:76" s="17" customFormat="1" ht="15.75" outlineLevel="1" thickBot="1">
      <c r="A117"/>
      <c r="B117" s="1" t="s">
        <v>21</v>
      </c>
      <c r="C117"/>
      <c r="D117" s="188" t="s">
        <v>25</v>
      </c>
      <c r="E117" s="193">
        <v>5</v>
      </c>
      <c r="F117" s="189">
        <v>244</v>
      </c>
      <c r="G117" s="189">
        <v>339</v>
      </c>
      <c r="H117" s="189">
        <v>48</v>
      </c>
      <c r="I117" s="189">
        <v>38</v>
      </c>
      <c r="J117" s="189">
        <v>240</v>
      </c>
      <c r="K117" s="189">
        <v>383.59447</v>
      </c>
      <c r="L117" s="189">
        <v>336</v>
      </c>
      <c r="M117" s="189">
        <v>0</v>
      </c>
      <c r="N117" s="189">
        <v>26</v>
      </c>
      <c r="O117" s="189">
        <v>80</v>
      </c>
      <c r="P117" s="189">
        <v>135</v>
      </c>
      <c r="Q117" s="189">
        <v>187</v>
      </c>
      <c r="R117" s="189">
        <v>204</v>
      </c>
      <c r="S117" s="189">
        <v>224</v>
      </c>
      <c r="T117" s="189">
        <v>2.0499999999999998</v>
      </c>
      <c r="U117" s="189">
        <v>73.84778</v>
      </c>
      <c r="V117" s="189">
        <v>139.48994999999999</v>
      </c>
      <c r="W117" s="189">
        <v>182.23273</v>
      </c>
      <c r="X117" s="189">
        <v>212.69001</v>
      </c>
      <c r="Y117" s="189">
        <v>233.34958</v>
      </c>
      <c r="Z117" s="189">
        <v>270.73602</v>
      </c>
      <c r="AA117" s="189">
        <v>302.39652000000001</v>
      </c>
      <c r="AB117" s="189">
        <v>322.51218999999998</v>
      </c>
      <c r="AC117" s="194">
        <v>363.42469</v>
      </c>
      <c r="AD117" s="452">
        <f t="shared" ca="1" si="34"/>
        <v>6629423</v>
      </c>
      <c r="AE117" s="273">
        <f t="shared" si="34"/>
        <v>0</v>
      </c>
      <c r="AF117" s="180" cm="1">
        <f t="array" aca="1" ref="AF117" ca="1">(SUMPRODUCT(E117:AC117,$E$119:$AC$119)+SUMPRODUCT(E117:AC117,$E$120:$AC$120,AZ117:BX117))/(SUMPRODUCT($E$119:$AC$119*(E117:AC117&lt;&gt;0))+SUMPRODUCT($E$120:$AC$120*AZ117:BX117*(E117:AC117&lt;&gt;0)))</f>
        <v>109.49484392216233</v>
      </c>
      <c r="AG117" s="228">
        <f t="shared" ca="1" si="37"/>
        <v>9.6654567796596716E-2</v>
      </c>
      <c r="AH117" s="236">
        <f t="shared" ref="AH117" ca="1" si="49">IFERROR(AG117*$C$104/(AD117+AE117*(1-discount_DZK)),0)</f>
        <v>1.024807306478885</v>
      </c>
      <c r="AI117" s="235">
        <v>0</v>
      </c>
      <c r="AJ117" s="231">
        <f t="shared" ca="1" si="40"/>
        <v>6793881.128139169</v>
      </c>
      <c r="AL117" s="235"/>
      <c r="AM117" s="243">
        <f ca="1">AH117*(1-discount_storage_entry)</f>
        <v>0</v>
      </c>
      <c r="AO117" s="294">
        <f ca="1">IF(AM117&lt;&gt;"",AM117,AH117)</f>
        <v>0</v>
      </c>
      <c r="AP117" s="235">
        <f t="shared" ref="AP117" si="50">IF($AE117&gt;0,(1-discount_DZK)*AO117,0)</f>
        <v>0</v>
      </c>
      <c r="AQ117"/>
      <c r="AR117" s="3">
        <v>1</v>
      </c>
      <c r="AS117" s="468">
        <f t="shared" ca="1" si="33"/>
        <v>0</v>
      </c>
      <c r="AT117" s="235">
        <f t="shared" ca="1" si="33"/>
        <v>0</v>
      </c>
      <c r="AY117" s="179" t="s">
        <v>25</v>
      </c>
      <c r="AZ117" s="217"/>
      <c r="BA117" s="218"/>
      <c r="BB117" s="218"/>
      <c r="BC117" s="218"/>
      <c r="BD117" s="218"/>
      <c r="BE117" s="218"/>
      <c r="BF117" s="218"/>
      <c r="BG117" s="218"/>
      <c r="BH117" s="219"/>
      <c r="BI117" s="220"/>
      <c r="BJ117" s="221"/>
      <c r="BK117" s="221"/>
      <c r="BL117" s="221"/>
      <c r="BM117" s="221"/>
      <c r="BN117" s="221"/>
      <c r="BO117" s="222"/>
      <c r="BP117" s="217"/>
      <c r="BQ117" s="218"/>
      <c r="BR117" s="218"/>
      <c r="BS117" s="218"/>
      <c r="BT117" s="218"/>
      <c r="BU117" s="218"/>
      <c r="BV117" s="218"/>
      <c r="BW117" s="218"/>
      <c r="BX117" s="219"/>
    </row>
    <row r="118" spans="1:76" s="17" customFormat="1" ht="15.75" outlineLevel="1" thickBot="1">
      <c r="A118"/>
      <c r="B118" s="1" t="s">
        <v>21</v>
      </c>
      <c r="C118"/>
      <c r="D118" s="240" t="s">
        <v>35</v>
      </c>
      <c r="E118" s="195">
        <v>27</v>
      </c>
      <c r="F118" s="196">
        <v>218</v>
      </c>
      <c r="G118" s="196">
        <v>313</v>
      </c>
      <c r="H118" s="196">
        <v>70</v>
      </c>
      <c r="I118" s="196">
        <v>60</v>
      </c>
      <c r="J118" s="196">
        <v>262</v>
      </c>
      <c r="K118" s="196">
        <v>405.59447</v>
      </c>
      <c r="L118" s="196">
        <v>310</v>
      </c>
      <c r="M118" s="196">
        <v>26</v>
      </c>
      <c r="N118" s="196">
        <v>0</v>
      </c>
      <c r="O118" s="196">
        <v>54</v>
      </c>
      <c r="P118" s="196">
        <v>109</v>
      </c>
      <c r="Q118" s="196">
        <v>161</v>
      </c>
      <c r="R118" s="196">
        <v>178</v>
      </c>
      <c r="S118" s="196">
        <v>198</v>
      </c>
      <c r="T118" s="196">
        <v>24</v>
      </c>
      <c r="U118" s="196">
        <v>95.84778</v>
      </c>
      <c r="V118" s="196">
        <v>161.48994999999999</v>
      </c>
      <c r="W118" s="196">
        <v>204.23273</v>
      </c>
      <c r="X118" s="196">
        <v>234.69001</v>
      </c>
      <c r="Y118" s="196">
        <v>255.34958</v>
      </c>
      <c r="Z118" s="196">
        <v>292.73602</v>
      </c>
      <c r="AA118" s="196">
        <v>324.39652000000001</v>
      </c>
      <c r="AB118" s="196">
        <v>344.51218999999998</v>
      </c>
      <c r="AC118" s="197">
        <v>385.42469</v>
      </c>
      <c r="AD118" s="453">
        <f t="shared" ca="1" si="34"/>
        <v>4028400.0000000009</v>
      </c>
      <c r="AE118" s="200">
        <f t="shared" si="34"/>
        <v>0</v>
      </c>
      <c r="AF118" s="180" cm="1">
        <f t="array" aca="1" ref="AF118" ca="1">(SUMPRODUCT(E118:AC118,$E$119:$AC$119)+SUMPRODUCT(E118:AC118,$E$120:$AC$120,AZ118:BX118))/(SUMPRODUCT($E$119:$AC$119*(E118:AC118&lt;&gt;0))+SUMPRODUCT($E$120:$AC$120*AZ118:BX118*(E118:AC118&lt;&gt;0)))</f>
        <v>113.60062609897517</v>
      </c>
      <c r="AG118" s="228">
        <f t="shared" ca="1" si="37"/>
        <v>6.0934927094068697E-2</v>
      </c>
      <c r="AH118" s="236">
        <f t="shared" ref="AH118" ca="1" si="51">IFERROR(AG118*$C$104/(AD118+AE118*(1-discount_DZK)),0)</f>
        <v>1.0632350115916451</v>
      </c>
      <c r="AI118" s="235">
        <v>0</v>
      </c>
      <c r="AJ118" s="231">
        <f t="shared" ca="1" si="40"/>
        <v>4283135.9206957845</v>
      </c>
      <c r="AL118" s="235"/>
      <c r="AM118" s="243">
        <f ca="1">AH118*(1-discount_storage_entry)</f>
        <v>0</v>
      </c>
      <c r="AO118" s="294">
        <f ca="1">IF(AM118&lt;&gt;"",AM118,AH118)</f>
        <v>0</v>
      </c>
      <c r="AP118" s="235">
        <f t="shared" ref="AP118" si="52">IF($AE118&gt;0,(1-discount_DZK)*AO118,0)</f>
        <v>0</v>
      </c>
      <c r="AQ118"/>
      <c r="AR118" s="3">
        <v>1</v>
      </c>
      <c r="AS118" s="468">
        <f t="shared" ca="1" si="33"/>
        <v>0</v>
      </c>
      <c r="AT118" s="235">
        <f t="shared" ca="1" si="33"/>
        <v>0</v>
      </c>
      <c r="AY118" s="177" t="s">
        <v>40</v>
      </c>
      <c r="AZ118" s="223"/>
      <c r="BA118" s="224"/>
      <c r="BB118" s="224"/>
      <c r="BC118" s="224"/>
      <c r="BD118" s="224"/>
      <c r="BE118" s="224"/>
      <c r="BF118" s="224"/>
      <c r="BG118" s="224"/>
      <c r="BH118" s="225"/>
      <c r="BI118" s="207"/>
      <c r="BJ118" s="208"/>
      <c r="BK118" s="208"/>
      <c r="BL118" s="208"/>
      <c r="BM118" s="208"/>
      <c r="BN118" s="208"/>
      <c r="BO118" s="209"/>
      <c r="BP118" s="226"/>
      <c r="BQ118" s="224"/>
      <c r="BR118" s="224"/>
      <c r="BS118" s="224"/>
      <c r="BT118" s="224"/>
      <c r="BU118" s="224"/>
      <c r="BV118" s="224"/>
      <c r="BW118" s="224"/>
      <c r="BX118" s="227"/>
    </row>
    <row r="119" spans="1:76" s="17" customFormat="1" outlineLevel="1">
      <c r="A119"/>
      <c r="B119" s="1" t="s">
        <v>31</v>
      </c>
      <c r="C119" s="3"/>
      <c r="D119" s="171" t="s">
        <v>170</v>
      </c>
      <c r="E119" s="201">
        <f ca="1">SUMIFS($G$53:$G$98,$F$53:$F$98,E$108,$D$53:$D$98,E$107,$E$53:$E$98,$B119)</f>
        <v>1975276</v>
      </c>
      <c r="F119" s="202">
        <f t="shared" ref="F119:AC120" ca="1" si="53">SUMIFS($G$53:$G$98,$F$53:$F$98,F$108,$D$53:$D$98,F$107,$E$53:$E$98,$B119)</f>
        <v>3366967</v>
      </c>
      <c r="G119" s="202">
        <f t="shared" ca="1" si="53"/>
        <v>0</v>
      </c>
      <c r="H119" s="202">
        <f t="shared" ca="1" si="53"/>
        <v>3189496</v>
      </c>
      <c r="I119" s="202">
        <f t="shared" ca="1" si="53"/>
        <v>0</v>
      </c>
      <c r="J119" s="202">
        <f t="shared" ca="1" si="53"/>
        <v>872840</v>
      </c>
      <c r="K119" s="202">
        <f t="shared" ca="1" si="53"/>
        <v>6683747</v>
      </c>
      <c r="L119" s="202">
        <f t="shared" ca="1" si="53"/>
        <v>0</v>
      </c>
      <c r="M119" s="205">
        <f t="shared" ca="1" si="53"/>
        <v>6629423</v>
      </c>
      <c r="N119" s="201">
        <f t="shared" ca="1" si="53"/>
        <v>0</v>
      </c>
      <c r="O119" s="202">
        <f t="shared" ca="1" si="53"/>
        <v>0</v>
      </c>
      <c r="P119" s="202">
        <f t="shared" ca="1" si="53"/>
        <v>0</v>
      </c>
      <c r="Q119" s="202">
        <f t="shared" ca="1" si="53"/>
        <v>0</v>
      </c>
      <c r="R119" s="202">
        <f t="shared" ca="1" si="53"/>
        <v>0</v>
      </c>
      <c r="S119" s="202">
        <f t="shared" ca="1" si="53"/>
        <v>0</v>
      </c>
      <c r="T119" s="202">
        <f t="shared" ca="1" si="53"/>
        <v>21422795</v>
      </c>
      <c r="U119" s="202">
        <f t="shared" ca="1" si="53"/>
        <v>1111502.9999999988</v>
      </c>
      <c r="V119" s="202">
        <f t="shared" ca="1" si="53"/>
        <v>166730.99999999983</v>
      </c>
      <c r="W119" s="202">
        <f t="shared" ca="1" si="53"/>
        <v>221438.99999999977</v>
      </c>
      <c r="X119" s="202">
        <f t="shared" ca="1" si="53"/>
        <v>1952542.9999999979</v>
      </c>
      <c r="Y119" s="202">
        <f t="shared" ca="1" si="53"/>
        <v>110455.99999999988</v>
      </c>
      <c r="Z119" s="202">
        <f t="shared" ca="1" si="53"/>
        <v>55222.999999999942</v>
      </c>
      <c r="AA119" s="202">
        <f t="shared" ca="1" si="53"/>
        <v>22021.999999999978</v>
      </c>
      <c r="AB119" s="202">
        <f t="shared" ca="1" si="53"/>
        <v>110086.9999999999</v>
      </c>
      <c r="AC119" s="203">
        <f t="shared" ca="1" si="53"/>
        <v>284538.99999999971</v>
      </c>
      <c r="AD119"/>
      <c r="AE119"/>
      <c r="AF119"/>
      <c r="AG119"/>
      <c r="AH119"/>
      <c r="AI119" s="184"/>
      <c r="AJ119" s="241">
        <f ca="1">SUM(AJ109:AJ118)</f>
        <v>70290326.499999985</v>
      </c>
      <c r="AM119"/>
      <c r="AO119"/>
      <c r="AP119"/>
      <c r="AQ119"/>
      <c r="AR119"/>
      <c r="AS119"/>
      <c r="AT119"/>
    </row>
    <row r="120" spans="1:76" s="17" customFormat="1" ht="15.75" outlineLevel="1" thickBot="1">
      <c r="A120"/>
      <c r="B120" s="1" t="s">
        <v>32</v>
      </c>
      <c r="C120" s="3"/>
      <c r="D120" s="171" t="s">
        <v>170</v>
      </c>
      <c r="E120" s="198">
        <f>SUMIFS($G$53:$G$98,$F$53:$F$98,E$108,$D$53:$D$98,E$107,$E$53:$E$98,$B120)</f>
        <v>0</v>
      </c>
      <c r="F120" s="199">
        <f t="shared" si="53"/>
        <v>0</v>
      </c>
      <c r="G120" s="199">
        <f t="shared" ca="1" si="53"/>
        <v>585865</v>
      </c>
      <c r="H120" s="199">
        <f t="shared" si="53"/>
        <v>0</v>
      </c>
      <c r="I120" s="199">
        <f t="shared" si="53"/>
        <v>0</v>
      </c>
      <c r="J120" s="199">
        <f t="shared" si="53"/>
        <v>0</v>
      </c>
      <c r="K120" s="199">
        <f t="shared" si="53"/>
        <v>0</v>
      </c>
      <c r="L120" s="199">
        <f t="shared" si="53"/>
        <v>0</v>
      </c>
      <c r="M120" s="206">
        <f t="shared" si="53"/>
        <v>0</v>
      </c>
      <c r="N120" s="198">
        <f t="shared" ca="1" si="53"/>
        <v>4635629</v>
      </c>
      <c r="O120" s="199">
        <f t="shared" si="53"/>
        <v>0</v>
      </c>
      <c r="P120" s="199">
        <f t="shared" si="53"/>
        <v>0</v>
      </c>
      <c r="Q120" s="199">
        <f t="shared" si="53"/>
        <v>0</v>
      </c>
      <c r="R120" s="199">
        <f t="shared" ca="1" si="53"/>
        <v>2378663</v>
      </c>
      <c r="S120" s="199">
        <f t="shared" si="53"/>
        <v>0</v>
      </c>
      <c r="T120" s="199">
        <f t="shared" si="53"/>
        <v>0</v>
      </c>
      <c r="U120" s="199">
        <f t="shared" si="53"/>
        <v>0</v>
      </c>
      <c r="V120" s="199">
        <f t="shared" si="53"/>
        <v>0</v>
      </c>
      <c r="W120" s="199">
        <f t="shared" si="53"/>
        <v>0</v>
      </c>
      <c r="X120" s="199">
        <f t="shared" si="53"/>
        <v>0</v>
      </c>
      <c r="Y120" s="199">
        <f t="shared" si="53"/>
        <v>0</v>
      </c>
      <c r="Z120" s="199">
        <f t="shared" si="53"/>
        <v>0</v>
      </c>
      <c r="AA120" s="199">
        <f t="shared" si="53"/>
        <v>0</v>
      </c>
      <c r="AB120" s="199">
        <f t="shared" si="53"/>
        <v>0</v>
      </c>
      <c r="AC120" s="200">
        <f t="shared" si="53"/>
        <v>0</v>
      </c>
      <c r="AD120" s="148"/>
      <c r="AE120" s="233">
        <f ca="1">SUM(E119:AC120,AD109:AE118)</f>
        <v>93232229</v>
      </c>
      <c r="AF120" s="148"/>
      <c r="AG120" s="148"/>
      <c r="AH120" s="231">
        <f ca="1">SUMPRODUCT(AD109:AD118,AH109:AH118)</f>
        <v>68597838.25087516</v>
      </c>
      <c r="AI120" s="231">
        <f ca="1">SUMPRODUCT(AE109:AE118,AI109:AI118)</f>
        <v>1692488.2491248285</v>
      </c>
      <c r="AJ120" s="231">
        <f ca="1">AI120+AH120</f>
        <v>70290326.499999985</v>
      </c>
      <c r="AK120" s="148" t="s">
        <v>19</v>
      </c>
      <c r="AO120"/>
      <c r="AP120" s="245" t="s">
        <v>152</v>
      </c>
      <c r="AQ120"/>
      <c r="AR120"/>
      <c r="AS120" s="245" t="s">
        <v>161</v>
      </c>
      <c r="AT120"/>
    </row>
    <row r="121" spans="1:76" s="17" customFormat="1" outlineLevel="1">
      <c r="A121" s="10"/>
      <c r="B121" s="186"/>
      <c r="C121" s="186"/>
      <c r="D121" s="1" t="s">
        <v>320</v>
      </c>
      <c r="E121" s="230" cm="1">
        <f t="array" aca="1" ref="E121" ca="1">(SUMPRODUCT(E109:E118,$AD$109:$AD$118)+SUMPRODUCT(E109:E118,$AE$109:$AE$118,AZ109:AZ118))/(SUMPRODUCT($AD$109:$AD$118*(E$109:E$118&lt;&gt;0))+SUMPRODUCT($AE$109:$AE$118*AZ109:AZ118*(E$109:E$118&lt;&gt;0)))</f>
        <v>184.93883548500474</v>
      </c>
      <c r="F121" s="230" cm="1">
        <f t="array" aca="1" ref="F121" ca="1">(SUMPRODUCT(F109:F118,$AD$109:$AD$118)+SUMPRODUCT(F109:F118,$AE$109:$AE$118,BA109:BA118))/(SUMPRODUCT($AD$109:$AD$118*(F$109:F$118&lt;&gt;0))+SUMPRODUCT($AE$109:$AE$118*BA109:BA118*(F$109:F$118&lt;&gt;0)))</f>
        <v>317.38581542168879</v>
      </c>
      <c r="G121" s="230" cm="1">
        <f t="array" aca="1" ref="G121" ca="1">(SUMPRODUCT(G109:G118,$AD$109:$AD$118)+SUMPRODUCT(G109:G118,$AE$109:$AE$118,BB109:BB118))/(SUMPRODUCT($AD$109:$AD$118*(G$109:G$118&lt;&gt;0))+SUMPRODUCT($AE$109:$AE$118*BB109:BB118*(G$109:G$118&lt;&gt;0)))</f>
        <v>350.47022257447242</v>
      </c>
      <c r="H121" s="230" cm="1">
        <f t="array" aca="1" ref="H121" ca="1">(SUMPRODUCT(H109:H118,$AD$109:$AD$118)+SUMPRODUCT(H109:H118,$AE$109:$AE$118,BC109:BC118))/(SUMPRODUCT($AD$109:$AD$118*(H$109:H$118&lt;&gt;0))+SUMPRODUCT($AE$109:$AE$118*BC109:BC118*(H$109:H$118&lt;&gt;0)))</f>
        <v>171.70907602208234</v>
      </c>
      <c r="I121" s="230" cm="1">
        <f t="array" aca="1" ref="I121" ca="1">(SUMPRODUCT(I109:I118,$AD$109:$AD$118)+SUMPRODUCT(I109:I118,$AE$109:$AE$118,BD109:BD118))/(SUMPRODUCT($AD$109:$AD$118*(I$109:I$118&lt;&gt;0))+SUMPRODUCT($AE$109:$AE$118*BD109:BD118*(I$109:I$118&lt;&gt;0)))</f>
        <v>161.70907602208234</v>
      </c>
      <c r="J121" s="230" cm="1">
        <f t="array" aca="1" ref="J121" ca="1">(SUMPRODUCT(J109:J118,$AD$109:$AD$118)+SUMPRODUCT(J109:J118,$AE$109:$AE$118,BE109:BE118))/(SUMPRODUCT($AD$109:$AD$118*(J$109:J$118&lt;&gt;0))+SUMPRODUCT($AE$109:$AE$118*BE109:BE118*(J$109:J$118&lt;&gt;0)))</f>
        <v>283.36800059398786</v>
      </c>
      <c r="K121" s="230" cm="1">
        <f t="array" aca="1" ref="K121" ca="1">(SUMPRODUCT(K109:K118,$AD$109:$AD$118)+SUMPRODUCT(K109:K118,$AE$109:$AE$118,BF109:BF118))/(SUMPRODUCT($AD$109:$AD$118*(K$109:K$118&lt;&gt;0))+SUMPRODUCT($AE$109:$AE$118*BF109:BF118*(K$109:K$118&lt;&gt;0)))</f>
        <v>455.34438002886986</v>
      </c>
      <c r="L121" s="230" cm="1">
        <f t="array" aca="1" ref="L121" ca="1">(SUMPRODUCT(L109:L118,$AD$109:$AD$118)+SUMPRODUCT(L109:L118,$AE$109:$AE$118,BG109:BG118))/(SUMPRODUCT($AD$109:$AD$118*(L$109:L$118&lt;&gt;0))+SUMPRODUCT($AE$109:$AE$118*BG109:BG118*(L$109:L$118&lt;&gt;0)))</f>
        <v>339.84110000086446</v>
      </c>
      <c r="M121" s="230" cm="1">
        <f t="array" aca="1" ref="M121" ca="1">(SUMPRODUCT(M109:M118,$AD$109:$AD$118)+SUMPRODUCT(M109:M118,$AE$109:$AE$118,BH109:BH118))/(SUMPRODUCT($AD$109:$AD$118*(M$109:M$118&lt;&gt;0))+SUMPRODUCT($AE$109:$AE$118*BH109:BH118*(M$109:M$118&lt;&gt;0)))</f>
        <v>154.77017094640803</v>
      </c>
      <c r="N121" s="230" cm="1">
        <f t="array" aca="1" ref="N121" ca="1">(SUMPRODUCT(N109:N118,$AD$109:$AD$118)+SUMPRODUCT(N109:N118,$AE$109:$AE$118,BI109:BI118))/(SUMPRODUCT($AD$109:$AD$118*(N$109:N$118&lt;&gt;0))+SUMPRODUCT($AE$109:$AE$118*BI109:BI118*(N$109:N$118&lt;&gt;0)))</f>
        <v>149.85334505915716</v>
      </c>
      <c r="O121" s="230" cm="1">
        <f t="array" aca="1" ref="O121" ca="1">(SUMPRODUCT(O109:O118,$AD$109:$AD$118)+SUMPRODUCT(O109:O118,$AE$109:$AE$118,BJ109:BJ118))/(SUMPRODUCT($AD$109:$AD$118*(O$109:O$118&lt;&gt;0))+SUMPRODUCT($AE$109:$AE$118*BJ109:BJ118*(O$109:O$118&lt;&gt;0)))</f>
        <v>162.83963404604478</v>
      </c>
      <c r="P121" s="230" cm="1">
        <f t="array" aca="1" ref="P121" ca="1">(SUMPRODUCT(P109:P118,$AD$109:$AD$118)+SUMPRODUCT(P109:P118,$AE$109:$AE$118,BK109:BK118))/(SUMPRODUCT($AD$109:$AD$118*(P$109:P$118&lt;&gt;0))+SUMPRODUCT($AE$109:$AE$118*BK109:BK118*(P$109:P$118&lt;&gt;0)))</f>
        <v>192.71288036787789</v>
      </c>
      <c r="Q121" s="230" cm="1">
        <f t="array" aca="1" ref="Q121" ca="1">(SUMPRODUCT(Q109:Q118,$AD$109:$AD$118)+SUMPRODUCT(Q109:Q118,$AE$109:$AE$118,BL109:BL118))/(SUMPRODUCT($AD$109:$AD$118*(Q$109:Q$118&lt;&gt;0))+SUMPRODUCT($AE$109:$AE$118*BL109:BL118*(Q$109:Q$118&lt;&gt;0)))</f>
        <v>220.95667689033826</v>
      </c>
      <c r="R121" s="230" cm="1">
        <f t="array" aca="1" ref="R121" ca="1">(SUMPRODUCT(R109:R118,$AD$109:$AD$118)+SUMPRODUCT(R109:R118,$AE$109:$AE$118,BM109:BM118))/(SUMPRODUCT($AD$109:$AD$118*(R$109:R$118&lt;&gt;0))+SUMPRODUCT($AE$109:$AE$118*BM109:BM118*(R$109:R$118&lt;&gt;0)))</f>
        <v>230.19022575345031</v>
      </c>
      <c r="S121" s="230" cm="1">
        <f t="array" aca="1" ref="S121" ca="1">(SUMPRODUCT(S109:S118,$AD$109:$AD$118)+SUMPRODUCT(S109:S118,$AE$109:$AE$118,BN109:BN118))/(SUMPRODUCT($AD$109:$AD$118*(S$109:S$118&lt;&gt;0))+SUMPRODUCT($AE$109:$AE$118*BN109:BN118*(S$109:S$118&lt;&gt;0)))</f>
        <v>241.05322441593506</v>
      </c>
      <c r="T121" s="230" cm="1">
        <f t="array" aca="1" ref="T121" ca="1">(SUMPRODUCT(T109:T118,$AD$109:$AD$118)+SUMPRODUCT(T109:T118,$AE$109:$AE$118,BO109:BO118))/(SUMPRODUCT($AD$109:$AD$118*(T$109:T$118&lt;&gt;0))+SUMPRODUCT($AE$109:$AE$118*BO109:BO118*(T$109:T$118&lt;&gt;0)))</f>
        <v>125.73078025128051</v>
      </c>
      <c r="U121" s="230" cm="1">
        <f t="array" aca="1" ref="U121" ca="1">(SUMPRODUCT(U109:U118,$AD$109:$AD$118)+SUMPRODUCT(U109:U118,$AE$109:$AE$118,BP109:BP118))/(SUMPRODUCT($AD$109:$AD$118*(U$109:U$118&lt;&gt;0))+SUMPRODUCT($AE$109:$AE$118*BP109:BP118*(U$109:U$118&lt;&gt;0)))</f>
        <v>173.30337739888427</v>
      </c>
      <c r="V121" s="230" cm="1">
        <f t="array" aca="1" ref="V121" ca="1">(SUMPRODUCT(V109:V118,$AD$109:$AD$118)+SUMPRODUCT(V109:V118,$AE$109:$AE$118,BQ109:BQ118))/(SUMPRODUCT($AD$109:$AD$118*(V$109:V$118&lt;&gt;0))+SUMPRODUCT($AE$109:$AE$118*BQ109:BQ118*(V$109:V$118&lt;&gt;0)))</f>
        <v>216.78688130126326</v>
      </c>
      <c r="W121" s="230" cm="1">
        <f t="array" aca="1" ref="W121" ca="1">(SUMPRODUCT(W109:W118,$AD$109:$AD$118)+SUMPRODUCT(W109:W118,$AE$109:$AE$118,BR109:BR118))/(SUMPRODUCT($AD$109:$AD$118*(W$109:W$118&lt;&gt;0))+SUMPRODUCT($AE$109:$AE$118*BR109:BR118*(W$109:W$118&lt;&gt;0)))</f>
        <v>245.101086040816</v>
      </c>
      <c r="X121" s="230" cm="1">
        <f t="array" aca="1" ref="X121" ca="1">(SUMPRODUCT(X109:X118,$AD$109:$AD$118)+SUMPRODUCT(X109:X118,$AE$109:$AE$118,BS109:BS118))/(SUMPRODUCT($AD$109:$AD$118*(X$109:X$118&lt;&gt;0))+SUMPRODUCT($AE$109:$AE$118*BS109:BS118*(X$109:X$118&lt;&gt;0)))</f>
        <v>265.27697683991443</v>
      </c>
      <c r="Y121" s="230" cm="1">
        <f t="array" aca="1" ref="Y121" ca="1">(SUMPRODUCT(Y109:Y118,$AD$109:$AD$118)+SUMPRODUCT(Y109:Y118,$AE$109:$AE$118,BT109:BT118))/(SUMPRODUCT($AD$109:$AD$118*(Y$109:Y$118&lt;&gt;0))+SUMPRODUCT($AE$109:$AE$118*BT109:BT118*(Y$109:Y$118&lt;&gt;0)))</f>
        <v>278.9625465387295</v>
      </c>
      <c r="Z121" s="230" cm="1">
        <f t="array" aca="1" ref="Z121" ca="1">(SUMPRODUCT(Z109:Z118,$AD$109:$AD$118)+SUMPRODUCT(Z109:Z118,$AE$109:$AE$118,BU109:BU118))/(SUMPRODUCT($AD$109:$AD$118*(Z$109:Z$118&lt;&gt;0))+SUMPRODUCT($AE$109:$AE$118*BU109:BU118*(Z$109:Z$118&lt;&gt;0)))</f>
        <v>301.07198407164384</v>
      </c>
      <c r="AA121" s="230" cm="1">
        <f t="array" aca="1" ref="AA121" ca="1">(SUMPRODUCT(AA109:AA118,$AD$109:$AD$118)+SUMPRODUCT(AA109:AA118,$AE$109:$AE$118,BV109:BV118))/(SUMPRODUCT($AD$109:$AD$118*(AA$109:AA$118&lt;&gt;0))+SUMPRODUCT($AE$109:$AE$118*BV109:BV118*(AA$109:AA$118&lt;&gt;0)))</f>
        <v>321.31236801398461</v>
      </c>
      <c r="AB121" s="230" cm="1">
        <f t="array" aca="1" ref="AB121" ca="1">(SUMPRODUCT(AB109:AB118,$AD$109:$AD$118)+SUMPRODUCT(AB109:AB118,$AE$109:$AE$118,BW109:BW118))/(SUMPRODUCT($AD$109:$AD$118*(AB$109:AB$118&lt;&gt;0))+SUMPRODUCT($AE$109:$AE$118*BW109:BW118*(AB$109:AB$118&lt;&gt;0)))</f>
        <v>334.17220547888331</v>
      </c>
      <c r="AC121" s="230" cm="1">
        <f t="array" aca="1" ref="AC121" ca="1">(SUMPRODUCT(AC109:AC118,$AD$109:$AD$118)+SUMPRODUCT(AC109:AC118,$AE$109:$AE$118,BX109:BX118))/(SUMPRODUCT($AD$109:$AD$118*(AC$109:AC$118&lt;&gt;0))+SUMPRODUCT($AE$109:$AE$118*BX109:BX118*(AC$109:AC$118&lt;&gt;0)))</f>
        <v>360.32734225944637</v>
      </c>
      <c r="AD121" s="148"/>
      <c r="AE121" s="148"/>
      <c r="AF121" s="148"/>
      <c r="AG121" s="148"/>
      <c r="AH121" s="148"/>
      <c r="AI121" s="232"/>
      <c r="AJ121" s="148"/>
      <c r="AM121" s="148"/>
      <c r="AO121"/>
      <c r="AP121" s="246">
        <f ca="1">SUMPRODUCT(AO109:AO118,$AD$109:$AD$118)+SUMPRODUCT(AP109:AP118,$AE$109:$AE$118)</f>
        <v>59213309.451165043</v>
      </c>
      <c r="AQ121" s="17" t="s">
        <v>19</v>
      </c>
      <c r="AR121"/>
      <c r="AS121" s="246">
        <f ca="1">SUMPRODUCT(AS109:AS118,$AD$109:$AD$118)+SUMPRODUCT(AT109:AT118,$AE$109:$AE$118)</f>
        <v>63983481.932508498</v>
      </c>
      <c r="AT121" s="17" t="s">
        <v>19</v>
      </c>
    </row>
    <row r="122" spans="1:76" s="17" customFormat="1" outlineLevel="1">
      <c r="A122"/>
      <c r="B122" s="186"/>
      <c r="C122"/>
      <c r="D122" s="1" t="s">
        <v>138</v>
      </c>
      <c r="E122" s="176">
        <f ca="1">E121*(E119+E120)/(SUMPRODUCT($E$121:$AC$121,$E$119:$AC$119)+SUMPRODUCT($E$121:$AC$121,$E$120:$AC$120))</f>
        <v>3.1948302462905198E-2</v>
      </c>
      <c r="F122" s="176">
        <f t="shared" ref="F122:AC122" ca="1" si="54">F121*(F119+F120)/(SUMPRODUCT($E$121:$AC$121,$E$119:$AC$119)+SUMPRODUCT($E$121:$AC$121,$E$120:$AC$120))</f>
        <v>9.3458381338558341E-2</v>
      </c>
      <c r="G122" s="176">
        <f t="shared" ca="1" si="54"/>
        <v>1.7957280220559889E-2</v>
      </c>
      <c r="H122" s="176">
        <f t="shared" ca="1" si="54"/>
        <v>4.7896876732749644E-2</v>
      </c>
      <c r="I122" s="176">
        <f t="shared" ca="1" si="54"/>
        <v>0</v>
      </c>
      <c r="J122" s="176">
        <f t="shared" ca="1" si="54"/>
        <v>2.1631036403108473E-2</v>
      </c>
      <c r="K122" s="176">
        <f t="shared" ca="1" si="54"/>
        <v>0.26616556282640774</v>
      </c>
      <c r="L122" s="176">
        <f t="shared" ca="1" si="54"/>
        <v>0</v>
      </c>
      <c r="M122" s="176">
        <f t="shared" ca="1" si="54"/>
        <v>8.9733555209811008E-2</v>
      </c>
      <c r="N122" s="176">
        <f t="shared" ca="1" si="54"/>
        <v>6.0752897353516105E-2</v>
      </c>
      <c r="O122" s="176">
        <f t="shared" ca="1" si="54"/>
        <v>0</v>
      </c>
      <c r="P122" s="176">
        <f t="shared" ca="1" si="54"/>
        <v>0</v>
      </c>
      <c r="Q122" s="176">
        <f t="shared" ca="1" si="54"/>
        <v>0</v>
      </c>
      <c r="R122" s="176">
        <f t="shared" ca="1" si="54"/>
        <v>4.788634363664291E-2</v>
      </c>
      <c r="S122" s="176">
        <f ca="1">S121*(S119+S120)/(SUMPRODUCT($E$121:$AC$121,$E$119:$AC$119)+SUMPRODUCT($E$121:$AC$121,$E$120:$AC$120))</f>
        <v>0</v>
      </c>
      <c r="T122" s="176">
        <f t="shared" ca="1" si="54"/>
        <v>0.23556438188937123</v>
      </c>
      <c r="U122" s="176">
        <f t="shared" ca="1" si="54"/>
        <v>1.6846494612181264E-2</v>
      </c>
      <c r="V122" s="176">
        <f t="shared" ca="1" si="54"/>
        <v>3.1611218327093032E-3</v>
      </c>
      <c r="W122" s="176">
        <f t="shared" ca="1" si="54"/>
        <v>4.7466939282020367E-3</v>
      </c>
      <c r="X122" s="176">
        <f t="shared" ca="1" si="54"/>
        <v>4.5299358119101719E-2</v>
      </c>
      <c r="Y122" s="176">
        <f t="shared" ca="1" si="54"/>
        <v>2.6948034360464819E-3</v>
      </c>
      <c r="Z122" s="176">
        <f t="shared" ca="1" si="54"/>
        <v>1.4540596479318826E-3</v>
      </c>
      <c r="AA122" s="176">
        <f t="shared" ca="1" si="54"/>
        <v>6.1883673031090322E-4</v>
      </c>
      <c r="AB122" s="176">
        <f t="shared" ca="1" si="54"/>
        <v>3.2173495201030249E-3</v>
      </c>
      <c r="AC122" s="176">
        <f t="shared" ca="1" si="54"/>
        <v>8.966664099782801E-3</v>
      </c>
      <c r="AD122"/>
      <c r="AE122"/>
      <c r="AF122" s="148"/>
      <c r="AG122" s="148"/>
      <c r="AH122" s="148"/>
      <c r="AI122" s="232"/>
      <c r="AJ122" s="148"/>
      <c r="AM122" s="148"/>
      <c r="AO122" s="1" t="s">
        <v>155</v>
      </c>
      <c r="AP122" s="174">
        <f ca="1">AP121-$C$104</f>
        <v>-11077017.048834957</v>
      </c>
      <c r="AQ122" s="17" t="s">
        <v>19</v>
      </c>
      <c r="AR122"/>
      <c r="AS122" s="174">
        <f ca="1">AS121-$C$104</f>
        <v>-6306844.5674915016</v>
      </c>
      <c r="AT122" s="17" t="s">
        <v>19</v>
      </c>
    </row>
    <row r="123" spans="1:76" s="17" customFormat="1" outlineLevel="1">
      <c r="B123" s="1" t="s">
        <v>31</v>
      </c>
      <c r="C123" s="186"/>
      <c r="D123" s="238" t="s">
        <v>145</v>
      </c>
      <c r="E123" s="236">
        <f ca="1">IFERROR(E122*$C$105/(E119+E120*(1-discount_DZK)),0)</f>
        <v>3.4106473392655414</v>
      </c>
      <c r="F123" s="236">
        <f t="shared" ref="F123:AC123" ca="1" si="55">IFERROR(F122*$C$105/(F119+F120*(1-discount_DZK)),0)</f>
        <v>5.8532383641854278</v>
      </c>
      <c r="G123" s="236">
        <f t="shared" ca="1" si="55"/>
        <v>7.181535505933657</v>
      </c>
      <c r="H123" s="236">
        <f t="shared" ca="1" si="55"/>
        <v>3.1666637335885284</v>
      </c>
      <c r="I123" s="236">
        <f t="shared" ca="1" si="55"/>
        <v>0</v>
      </c>
      <c r="J123" s="236">
        <f t="shared" ca="1" si="55"/>
        <v>5.2258808417621108</v>
      </c>
      <c r="K123" s="236">
        <f t="shared" ca="1" si="55"/>
        <v>8.3974741926008551</v>
      </c>
      <c r="L123" s="236">
        <f t="shared" ca="1" si="55"/>
        <v>0</v>
      </c>
      <c r="M123" s="236">
        <f ca="1">IFERROR(M122*$C$105/(M119+M120*(1-discount_DZK)),0)</f>
        <v>2.8542759575169931</v>
      </c>
      <c r="N123" s="236">
        <f t="shared" ca="1" si="55"/>
        <v>3.0706663474001283</v>
      </c>
      <c r="O123" s="236">
        <f ca="1">IFERROR(O122*$C$105/(O119+O120*(1-discount_DZK)),0)</f>
        <v>0</v>
      </c>
      <c r="P123" s="236">
        <f t="shared" ca="1" si="55"/>
        <v>0</v>
      </c>
      <c r="Q123" s="236">
        <f t="shared" ca="1" si="55"/>
        <v>0</v>
      </c>
      <c r="R123" s="236">
        <f t="shared" ca="1" si="55"/>
        <v>4.7168608711572109</v>
      </c>
      <c r="S123" s="236">
        <f t="shared" ca="1" si="55"/>
        <v>0</v>
      </c>
      <c r="T123" s="236">
        <f t="shared" ca="1" si="55"/>
        <v>2.3187306765678226</v>
      </c>
      <c r="U123" s="236">
        <f t="shared" ca="1" si="55"/>
        <v>3.1960658855730841</v>
      </c>
      <c r="V123" s="236">
        <f t="shared" ca="1" si="55"/>
        <v>3.9979899189847519</v>
      </c>
      <c r="W123" s="236">
        <f t="shared" ca="1" si="55"/>
        <v>4.5201612996205149</v>
      </c>
      <c r="X123" s="236">
        <f t="shared" ca="1" si="55"/>
        <v>4.8922456597863739</v>
      </c>
      <c r="Y123" s="236">
        <f t="shared" ca="1" si="55"/>
        <v>5.1446353309832684</v>
      </c>
      <c r="Z123" s="236">
        <f t="shared" ca="1" si="55"/>
        <v>5.5523782157945343</v>
      </c>
      <c r="AA123" s="236">
        <f t="shared" ca="1" si="55"/>
        <v>5.9256519603686151</v>
      </c>
      <c r="AB123" s="236">
        <f t="shared" ca="1" si="55"/>
        <v>6.1628134538862938</v>
      </c>
      <c r="AC123" s="236">
        <f t="shared" ca="1" si="55"/>
        <v>6.6451672409359945</v>
      </c>
      <c r="AD123" s="231">
        <f ca="1">SUMPRODUCT(E119:AC119,E123:AC123)</f>
        <v>184175447.07100317</v>
      </c>
      <c r="AE123" s="231"/>
      <c r="AF123" s="148"/>
      <c r="AG123" s="148"/>
      <c r="AH123" s="148"/>
      <c r="AI123" s="232"/>
      <c r="AJ123" s="233">
        <f ca="1">AJ120+AD125</f>
        <v>281161306</v>
      </c>
      <c r="AK123" s="148" t="s">
        <v>19</v>
      </c>
      <c r="AL123"/>
      <c r="AM123"/>
      <c r="AN123"/>
      <c r="AO123"/>
      <c r="AP123"/>
      <c r="AQ123"/>
    </row>
    <row r="124" spans="1:76" s="17" customFormat="1" outlineLevel="1">
      <c r="B124" s="1" t="s">
        <v>32</v>
      </c>
      <c r="C124" s="186"/>
      <c r="D124" s="239" t="s">
        <v>146</v>
      </c>
      <c r="E124" s="235">
        <v>0</v>
      </c>
      <c r="F124" s="235">
        <v>0</v>
      </c>
      <c r="G124" s="235">
        <f ca="1">(1-discount_DZK)*G123</f>
        <v>6.4633819553402914</v>
      </c>
      <c r="H124" s="235">
        <v>0</v>
      </c>
      <c r="I124" s="235">
        <v>0</v>
      </c>
      <c r="J124" s="235">
        <v>0</v>
      </c>
      <c r="K124" s="235">
        <v>0</v>
      </c>
      <c r="L124" s="235">
        <v>0</v>
      </c>
      <c r="M124" s="235">
        <v>0</v>
      </c>
      <c r="N124" s="235">
        <f ca="1">(1-discount_DZK)*N123</f>
        <v>2.7635997126601155</v>
      </c>
      <c r="O124" s="235">
        <f t="shared" ref="O124:Y124" si="56">IF(O120&gt;0,(1-discount_DZK)*O123,0)</f>
        <v>0</v>
      </c>
      <c r="P124" s="235">
        <f t="shared" si="56"/>
        <v>0</v>
      </c>
      <c r="Q124" s="235">
        <f t="shared" si="56"/>
        <v>0</v>
      </c>
      <c r="R124" s="235">
        <f ca="1">(1-discount_DZK)*R123</f>
        <v>4.24517478404149</v>
      </c>
      <c r="S124" s="235">
        <f t="shared" si="56"/>
        <v>0</v>
      </c>
      <c r="T124" s="235">
        <f t="shared" si="56"/>
        <v>0</v>
      </c>
      <c r="U124" s="235">
        <f t="shared" si="56"/>
        <v>0</v>
      </c>
      <c r="V124" s="235">
        <f t="shared" si="56"/>
        <v>0</v>
      </c>
      <c r="W124" s="235">
        <f t="shared" si="56"/>
        <v>0</v>
      </c>
      <c r="X124" s="235">
        <f t="shared" si="56"/>
        <v>0</v>
      </c>
      <c r="Y124" s="235">
        <f t="shared" si="56"/>
        <v>0</v>
      </c>
      <c r="Z124" s="235">
        <v>0</v>
      </c>
      <c r="AA124" s="235">
        <v>0</v>
      </c>
      <c r="AB124" s="235">
        <v>0</v>
      </c>
      <c r="AC124" s="235">
        <v>0</v>
      </c>
      <c r="AD124" s="231">
        <f ca="1">SUMPRODUCT(E120:AC120,E124:AC124)</f>
        <v>26695532.428996824</v>
      </c>
      <c r="AE124" s="148"/>
      <c r="AF124" s="58"/>
      <c r="AG124" s="148"/>
      <c r="AH124" s="148"/>
      <c r="AI124" s="232"/>
      <c r="AJ124" s="234">
        <f ca="1">AJ123-C102</f>
        <v>0</v>
      </c>
      <c r="AK124" s="148" t="s">
        <v>19</v>
      </c>
      <c r="AL124"/>
      <c r="AM124"/>
      <c r="AN124"/>
      <c r="AO124"/>
      <c r="AP124"/>
      <c r="AQ124"/>
    </row>
    <row r="125" spans="1:76" s="17" customFormat="1" outlineLevel="1">
      <c r="B125" s="186"/>
      <c r="C125" s="186"/>
      <c r="D125" s="1" t="s">
        <v>143</v>
      </c>
      <c r="E125" s="297">
        <f ca="1">(E119*E123+M119*M123)/(E119+M119)</f>
        <v>2.9819953626297977</v>
      </c>
      <c r="F125" s="298">
        <f ca="1">(SUMPRODUCT(F119:G119,F123:G123)+SUMPRODUCT(F120:G120,F124:G124)+L119*L123)/(SUM(F119:G119)+SUM(F120:G120)*(1-discount_DZK)+L119)</f>
        <v>6.0330889987833984</v>
      </c>
      <c r="G125" s="302">
        <f ca="1">F125</f>
        <v>6.0330889987833984</v>
      </c>
      <c r="H125" s="299"/>
      <c r="I125" s="299"/>
      <c r="J125" s="299"/>
      <c r="K125" s="299"/>
      <c r="L125" s="303">
        <f ca="1">G125</f>
        <v>6.0330889987833984</v>
      </c>
      <c r="M125" s="304">
        <f ca="1">(E119*E123+M119*M123)/(E119+M119)</f>
        <v>2.9819953626297977</v>
      </c>
      <c r="N125" s="298">
        <f ca="1">IF(Tariff_SimCalculation!W4=1,(SUMPRODUCT(N119:AC119,N123:AC123)+SUMPRODUCT(N120:AC120,N124:AC124))/(SUM(N119:AC119)+SUM(N120:AC120)*(1-discount_DZK)),(SUMPRODUCT(N119:Y119,N123:Y123)+SUMPRODUCT(N120:Y120,N124:Y124))/(SUM(N119:Y119)+SUM(N120:Y120)*(1-discount_DZK)))</f>
        <v>2.8091945224722998</v>
      </c>
      <c r="O125" s="308">
        <f ca="1">$N125</f>
        <v>2.8091945224722998</v>
      </c>
      <c r="P125" s="308">
        <f t="shared" ref="P125:Y125" ca="1" si="57">$N125</f>
        <v>2.8091945224722998</v>
      </c>
      <c r="Q125" s="308">
        <f t="shared" ca="1" si="57"/>
        <v>2.8091945224722998</v>
      </c>
      <c r="R125" s="308">
        <f t="shared" ca="1" si="57"/>
        <v>2.8091945224722998</v>
      </c>
      <c r="S125" s="308">
        <f t="shared" ca="1" si="57"/>
        <v>2.8091945224722998</v>
      </c>
      <c r="T125" s="308">
        <f t="shared" ca="1" si="57"/>
        <v>2.8091945224722998</v>
      </c>
      <c r="U125" s="308">
        <f t="shared" ca="1" si="57"/>
        <v>2.8091945224722998</v>
      </c>
      <c r="V125" s="308">
        <f t="shared" ca="1" si="57"/>
        <v>2.8091945224722998</v>
      </c>
      <c r="W125" s="308">
        <f t="shared" ca="1" si="57"/>
        <v>2.8091945224722998</v>
      </c>
      <c r="X125" s="308">
        <f t="shared" ca="1" si="57"/>
        <v>2.8091945224722998</v>
      </c>
      <c r="Y125" s="309">
        <f t="shared" ca="1" si="57"/>
        <v>2.8091945224722998</v>
      </c>
      <c r="Z125" s="296">
        <f ca="1">IF(Tariff_SimCalculation!W4=1,(SUMPRODUCT(N119:AC119,N123:AC123)+SUMPRODUCT(N120:AC120,N124:AC124))/(SUM(N119:AC119)+SUM(N120:AC120)*(1-discount_DZK)),SUMPRODUCT(Z119:AC119,Z123:AC123)/SUM(Z119:AC119))</f>
        <v>6.3711662211679174</v>
      </c>
      <c r="AA125" s="305">
        <f ca="1">$Z125</f>
        <v>6.3711662211679174</v>
      </c>
      <c r="AB125" s="305">
        <f ca="1">$Z125</f>
        <v>6.3711662211679174</v>
      </c>
      <c r="AC125" s="306">
        <f ca="1">$Z125</f>
        <v>6.3711662211679174</v>
      </c>
      <c r="AD125" s="231">
        <f ca="1">AD124+AD123</f>
        <v>210870979.5</v>
      </c>
      <c r="AE125" s="148" t="s">
        <v>19</v>
      </c>
      <c r="AF125" s="58"/>
      <c r="AG125" s="148"/>
      <c r="AH125" s="148"/>
      <c r="AI125" s="232"/>
      <c r="AJ125" s="148"/>
      <c r="AK125" s="148"/>
      <c r="AL125"/>
      <c r="AM125"/>
      <c r="AN125"/>
      <c r="AO125"/>
      <c r="AP125"/>
      <c r="AQ125"/>
    </row>
    <row r="126" spans="1:76" s="17" customFormat="1" outlineLevel="1">
      <c r="A126"/>
      <c r="B126" s="5"/>
      <c r="C126"/>
      <c r="D126" s="1" t="s">
        <v>144</v>
      </c>
      <c r="E126" s="235">
        <f>IF(E120&gt;0,E125*(1-discount_DZK),0)</f>
        <v>0</v>
      </c>
      <c r="F126" s="235"/>
      <c r="G126" s="300">
        <f ca="1">G125*(1-discount_DZK)</f>
        <v>5.4297800989050584</v>
      </c>
      <c r="H126" s="299"/>
      <c r="I126" s="299"/>
      <c r="J126" s="299"/>
      <c r="K126" s="299"/>
      <c r="L126" s="235">
        <f>IF(L120&gt;0,L125*(1-discount_DZK),0)</f>
        <v>0</v>
      </c>
      <c r="M126" s="235">
        <f>IF(M120&gt;0,M125*(1-discount_DZK),0)</f>
        <v>0</v>
      </c>
      <c r="N126" s="307">
        <f t="shared" ref="N126:Y126" ca="1" si="58">N125*(1-discount_DZK)</f>
        <v>2.52827507022507</v>
      </c>
      <c r="O126" s="307">
        <f t="shared" ca="1" si="58"/>
        <v>2.52827507022507</v>
      </c>
      <c r="P126" s="307">
        <f t="shared" ca="1" si="58"/>
        <v>2.52827507022507</v>
      </c>
      <c r="Q126" s="307">
        <f t="shared" ca="1" si="58"/>
        <v>2.52827507022507</v>
      </c>
      <c r="R126" s="307">
        <f t="shared" ca="1" si="58"/>
        <v>2.52827507022507</v>
      </c>
      <c r="S126" s="307">
        <f t="shared" ca="1" si="58"/>
        <v>2.52827507022507</v>
      </c>
      <c r="T126" s="307">
        <f t="shared" ca="1" si="58"/>
        <v>2.52827507022507</v>
      </c>
      <c r="U126" s="307">
        <f t="shared" ca="1" si="58"/>
        <v>2.52827507022507</v>
      </c>
      <c r="V126" s="307">
        <f t="shared" ca="1" si="58"/>
        <v>2.52827507022507</v>
      </c>
      <c r="W126" s="307">
        <f t="shared" ca="1" si="58"/>
        <v>2.52827507022507</v>
      </c>
      <c r="X126" s="307">
        <f t="shared" ca="1" si="58"/>
        <v>2.52827507022507</v>
      </c>
      <c r="Y126" s="307">
        <f t="shared" ca="1" si="58"/>
        <v>2.52827507022507</v>
      </c>
      <c r="Z126" s="235">
        <f>IF(Z120&gt;0,Z125*(1-discount_DZK),0)</f>
        <v>0</v>
      </c>
      <c r="AA126" s="235">
        <f>IF(AA120&gt;0,AA125*(1-discount_DZK),0)</f>
        <v>0</v>
      </c>
      <c r="AB126" s="235">
        <f>IF(AB120&gt;0,AB125*(1-discount_DZK),0)</f>
        <v>0</v>
      </c>
      <c r="AC126" s="235">
        <f>IF(AC120&gt;0,AC125*(1-discount_DZK),0)</f>
        <v>0</v>
      </c>
      <c r="AD126"/>
      <c r="AE126"/>
      <c r="AF126" s="148"/>
      <c r="AG126" s="148"/>
      <c r="AH126" s="148"/>
      <c r="AI126"/>
      <c r="AJ126"/>
      <c r="AK126"/>
      <c r="AL126"/>
      <c r="AM126"/>
      <c r="AN126"/>
      <c r="AO126"/>
      <c r="AP126"/>
      <c r="AQ126"/>
    </row>
    <row r="127" spans="1:76" s="17" customFormat="1" outlineLevel="1">
      <c r="A127"/>
      <c r="B127" s="5"/>
      <c r="C127"/>
      <c r="D127" s="1" t="s">
        <v>154</v>
      </c>
      <c r="E127"/>
      <c r="F127"/>
      <c r="G127"/>
      <c r="H127"/>
      <c r="I127"/>
      <c r="J127"/>
      <c r="K127" s="299"/>
      <c r="L127" s="243">
        <f ca="1">L125*(1-discount_storage_exit)</f>
        <v>3.0165444993916992</v>
      </c>
      <c r="M127" s="243">
        <f ca="1">M125*(1-discount_storage_exit)</f>
        <v>1.4909976813148988</v>
      </c>
      <c r="N127"/>
      <c r="O127"/>
      <c r="P127"/>
      <c r="Q127"/>
      <c r="R127"/>
      <c r="S127"/>
      <c r="T127"/>
      <c r="U127"/>
      <c r="V127"/>
      <c r="W127"/>
      <c r="X127"/>
      <c r="Y127"/>
      <c r="Z127"/>
      <c r="AA127"/>
      <c r="AB127"/>
      <c r="AC127"/>
      <c r="AD127"/>
      <c r="AE127"/>
      <c r="AF127"/>
      <c r="AG127"/>
      <c r="AH127"/>
      <c r="AI127"/>
      <c r="AJ127" s="171" t="s">
        <v>163</v>
      </c>
      <c r="AK127" s="252">
        <f ca="1">C102</f>
        <v>281161306</v>
      </c>
      <c r="AL127" s="17" t="s">
        <v>19</v>
      </c>
      <c r="AM127"/>
      <c r="AN127"/>
      <c r="AO127"/>
      <c r="AP127"/>
      <c r="AQ127"/>
    </row>
    <row r="128" spans="1:76" s="17" customFormat="1" outlineLevel="1">
      <c r="A128"/>
      <c r="B128" s="40"/>
      <c r="C128"/>
      <c r="D128" s="239" t="s">
        <v>147</v>
      </c>
      <c r="E128" s="235">
        <f ca="1">IF(E$125&gt;0,IF(E127&gt;0,E127,E125),E123)</f>
        <v>2.9819953626297977</v>
      </c>
      <c r="F128" s="235">
        <f t="shared" ref="F128:K128" ca="1" si="59">IF(F$125&gt;0,IF(F127&gt;0,F127,F125),F123)</f>
        <v>6.0330889987833984</v>
      </c>
      <c r="G128" s="235">
        <f t="shared" ca="1" si="59"/>
        <v>6.0330889987833984</v>
      </c>
      <c r="H128" s="235">
        <f t="shared" ca="1" si="59"/>
        <v>3.1666637335885284</v>
      </c>
      <c r="I128" s="235">
        <f t="shared" ca="1" si="59"/>
        <v>0</v>
      </c>
      <c r="J128" s="235">
        <f t="shared" ca="1" si="59"/>
        <v>5.2258808417621108</v>
      </c>
      <c r="K128" s="235">
        <f t="shared" ca="1" si="59"/>
        <v>8.3974741926008551</v>
      </c>
      <c r="L128" s="235">
        <f ca="1">IF(L$125&gt;0,IF(OR(L127&gt;0,discount_storage_exit=1),L127,L125),L123)</f>
        <v>3.0165444993916992</v>
      </c>
      <c r="M128" s="235">
        <f ca="1">IF(M$125&gt;0,IF(OR(M127&gt;0,discount_storage_exit=1),M127,M125),M123)</f>
        <v>1.4909976813148988</v>
      </c>
      <c r="N128" s="235">
        <f ca="1">IF(N$125&gt;0,IF(N127&gt;0,N127,N125),N123)</f>
        <v>2.8091945224722998</v>
      </c>
      <c r="O128" s="235">
        <f ca="1">IF(O$125&gt;0,IF(O127&gt;0,O127,O125),O123)</f>
        <v>2.8091945224722998</v>
      </c>
      <c r="P128" s="235">
        <f ca="1">IF(P$125&gt;0,IF(P127&gt;0,P127,P125),P123)</f>
        <v>2.8091945224722998</v>
      </c>
      <c r="Q128" s="235">
        <f t="shared" ref="Q128:Y128" ca="1" si="60">IF($N$125&gt;0,$N$125,Q123)</f>
        <v>2.8091945224722998</v>
      </c>
      <c r="R128" s="235">
        <f t="shared" ca="1" si="60"/>
        <v>2.8091945224722998</v>
      </c>
      <c r="S128" s="235">
        <f t="shared" ca="1" si="60"/>
        <v>2.8091945224722998</v>
      </c>
      <c r="T128" s="235">
        <f t="shared" ca="1" si="60"/>
        <v>2.8091945224722998</v>
      </c>
      <c r="U128" s="235">
        <f t="shared" ca="1" si="60"/>
        <v>2.8091945224722998</v>
      </c>
      <c r="V128" s="235">
        <f t="shared" ca="1" si="60"/>
        <v>2.8091945224722998</v>
      </c>
      <c r="W128" s="235">
        <f t="shared" ca="1" si="60"/>
        <v>2.8091945224722998</v>
      </c>
      <c r="X128" s="235">
        <f t="shared" ca="1" si="60"/>
        <v>2.8091945224722998</v>
      </c>
      <c r="Y128" s="235">
        <f t="shared" ca="1" si="60"/>
        <v>2.8091945224722998</v>
      </c>
      <c r="Z128" s="235">
        <f ca="1">IF($Z$125&gt;0,$Z$125,Z123)</f>
        <v>6.3711662211679174</v>
      </c>
      <c r="AA128" s="235">
        <f ca="1">IF($Z$125&gt;0,$Z$125,AA123)</f>
        <v>6.3711662211679174</v>
      </c>
      <c r="AB128" s="235">
        <f ca="1">IF($Z$125&gt;0,$Z$125,AB123)</f>
        <v>6.3711662211679174</v>
      </c>
      <c r="AC128" s="235">
        <f ca="1">IF($Z$125&gt;0,$Z$125,AC123)</f>
        <v>6.3711662211679174</v>
      </c>
      <c r="AD128"/>
      <c r="AE128" s="249" t="s">
        <v>153</v>
      </c>
      <c r="AF128" s="168"/>
      <c r="AG128" t="s">
        <v>205</v>
      </c>
      <c r="AH128"/>
      <c r="AI128"/>
      <c r="AJ128" s="171" t="s">
        <v>166</v>
      </c>
      <c r="AK128" s="250">
        <f ca="1">AE129+AP121</f>
        <v>260199834.62970936</v>
      </c>
      <c r="AL128" s="17" t="s">
        <v>19</v>
      </c>
      <c r="AM128"/>
      <c r="AN128"/>
      <c r="AO128"/>
      <c r="AP128"/>
      <c r="AQ128"/>
    </row>
    <row r="129" spans="1:48" s="17" customFormat="1" outlineLevel="1">
      <c r="A129" s="168"/>
      <c r="B129" s="40"/>
      <c r="C129" s="168"/>
      <c r="D129" s="239" t="s">
        <v>148</v>
      </c>
      <c r="E129" s="311">
        <f t="shared" ref="E129:M129" si="61">IF(E120&gt;0,(1-discount_DZK)*E128,0)</f>
        <v>0</v>
      </c>
      <c r="F129" s="311"/>
      <c r="G129" s="311">
        <f ca="1">(1-discount_DZK)*G128</f>
        <v>5.4297800989050584</v>
      </c>
      <c r="H129" s="311">
        <f t="shared" si="61"/>
        <v>0</v>
      </c>
      <c r="I129" s="311">
        <f t="shared" si="61"/>
        <v>0</v>
      </c>
      <c r="J129" s="311">
        <f t="shared" si="61"/>
        <v>0</v>
      </c>
      <c r="K129" s="311">
        <f t="shared" si="61"/>
        <v>0</v>
      </c>
      <c r="L129" s="311">
        <f t="shared" si="61"/>
        <v>0</v>
      </c>
      <c r="M129" s="312">
        <f t="shared" si="61"/>
        <v>0</v>
      </c>
      <c r="N129" s="311">
        <f ca="1">IF($N$125&gt;0,$N$126,N124)</f>
        <v>2.52827507022507</v>
      </c>
      <c r="O129" s="311">
        <f t="shared" ref="O129:Y129" ca="1" si="62">IF($N$125&gt;0,$N$126,O124)</f>
        <v>2.52827507022507</v>
      </c>
      <c r="P129" s="311">
        <f t="shared" ca="1" si="62"/>
        <v>2.52827507022507</v>
      </c>
      <c r="Q129" s="311">
        <f t="shared" ca="1" si="62"/>
        <v>2.52827507022507</v>
      </c>
      <c r="R129" s="311">
        <f t="shared" ca="1" si="62"/>
        <v>2.52827507022507</v>
      </c>
      <c r="S129" s="311">
        <f t="shared" ca="1" si="62"/>
        <v>2.52827507022507</v>
      </c>
      <c r="T129" s="311">
        <f t="shared" ca="1" si="62"/>
        <v>2.52827507022507</v>
      </c>
      <c r="U129" s="311">
        <f t="shared" ca="1" si="62"/>
        <v>2.52827507022507</v>
      </c>
      <c r="V129" s="311">
        <f t="shared" ca="1" si="62"/>
        <v>2.52827507022507</v>
      </c>
      <c r="W129" s="311">
        <f t="shared" ca="1" si="62"/>
        <v>2.52827507022507</v>
      </c>
      <c r="X129" s="311">
        <f t="shared" ca="1" si="62"/>
        <v>2.52827507022507</v>
      </c>
      <c r="Y129" s="311">
        <f t="shared" ca="1" si="62"/>
        <v>2.52827507022507</v>
      </c>
      <c r="Z129" s="311">
        <f ca="1">IF($N$125&gt;0,$Z$126,Z124)</f>
        <v>0</v>
      </c>
      <c r="AA129" s="311">
        <f ca="1">IF($N$125&gt;0,$Z$126,AA124)</f>
        <v>0</v>
      </c>
      <c r="AB129" s="311">
        <f ca="1">IF($N$125&gt;0,$Z$126,AB124)</f>
        <v>0</v>
      </c>
      <c r="AC129" s="311">
        <f ca="1">IF($N$125&gt;0,$Z$126,AC124)</f>
        <v>0</v>
      </c>
      <c r="AD129" s="168"/>
      <c r="AE129" s="246">
        <f ca="1">SUMPRODUCT(E128:AC128,$E$119:$AC$119)+SUMPRODUCT($E$120:$AC$120,E129:AC129)</f>
        <v>200986525.17854431</v>
      </c>
      <c r="AF129" s="17" t="s">
        <v>19</v>
      </c>
      <c r="AG129" s="5">
        <f ca="1">$C$105</f>
        <v>210870979.5</v>
      </c>
      <c r="AH129"/>
      <c r="AI129"/>
      <c r="AJ129" s="1" t="s">
        <v>156</v>
      </c>
      <c r="AK129" s="5">
        <f ca="1">AK128-AK127</f>
        <v>-20961471.370290637</v>
      </c>
      <c r="AL129" s="17" t="s">
        <v>19</v>
      </c>
      <c r="AM129"/>
      <c r="AN129"/>
      <c r="AO129"/>
      <c r="AP129"/>
      <c r="AQ129"/>
    </row>
    <row r="130" spans="1:48" s="17" customFormat="1" outlineLevel="1">
      <c r="A130" s="168"/>
      <c r="B130" s="301"/>
      <c r="C130" s="168"/>
      <c r="D130" s="168"/>
      <c r="E130" s="168"/>
      <c r="F130" s="168"/>
      <c r="G130" s="168"/>
      <c r="H130" s="168"/>
      <c r="I130" s="168"/>
      <c r="J130" s="168"/>
      <c r="K130" s="168"/>
      <c r="L130" s="168"/>
      <c r="M130" s="168"/>
      <c r="N130" s="168"/>
      <c r="O130" s="168"/>
      <c r="P130" s="168"/>
      <c r="Q130" s="168"/>
      <c r="R130" s="168"/>
      <c r="S130" s="168"/>
      <c r="T130" s="168"/>
      <c r="U130" s="168"/>
      <c r="V130" s="168"/>
      <c r="W130" s="168"/>
      <c r="X130" s="168"/>
      <c r="Y130" s="168"/>
      <c r="Z130" s="168"/>
      <c r="AA130" s="168"/>
      <c r="AB130" s="168"/>
      <c r="AC130" s="168"/>
      <c r="AD130" s="1" t="s">
        <v>149</v>
      </c>
      <c r="AE130" s="174">
        <f ca="1">-$C$105+AE129</f>
        <v>-9884454.3214556873</v>
      </c>
      <c r="AF130" s="17" t="s">
        <v>19</v>
      </c>
      <c r="AG130"/>
      <c r="AM130"/>
      <c r="AN130"/>
      <c r="AO130"/>
      <c r="AP130"/>
      <c r="AQ130"/>
    </row>
    <row r="131" spans="1:48" s="17" customFormat="1" outlineLevel="1">
      <c r="A131" s="168"/>
      <c r="B131" s="301"/>
      <c r="C131" s="168"/>
      <c r="D131" s="1" t="s">
        <v>157</v>
      </c>
      <c r="E131" s="3">
        <v>1</v>
      </c>
      <c r="F131" s="3">
        <v>1</v>
      </c>
      <c r="G131" s="3">
        <v>1</v>
      </c>
      <c r="H131" s="3">
        <v>1</v>
      </c>
      <c r="I131" s="3">
        <v>1</v>
      </c>
      <c r="J131" s="3">
        <v>1</v>
      </c>
      <c r="K131" s="3">
        <v>1</v>
      </c>
      <c r="L131" s="3">
        <v>1</v>
      </c>
      <c r="M131" s="3">
        <v>1</v>
      </c>
      <c r="N131" s="3">
        <v>1</v>
      </c>
      <c r="O131" s="3">
        <v>1</v>
      </c>
      <c r="P131" s="3">
        <v>1</v>
      </c>
      <c r="Q131" s="3">
        <v>1</v>
      </c>
      <c r="R131" s="3">
        <v>1</v>
      </c>
      <c r="S131" s="3">
        <v>1</v>
      </c>
      <c r="T131" s="3">
        <v>1</v>
      </c>
      <c r="U131" s="3">
        <v>1</v>
      </c>
      <c r="V131" s="3">
        <v>1</v>
      </c>
      <c r="W131" s="3">
        <v>1</v>
      </c>
      <c r="X131" s="3">
        <v>1</v>
      </c>
      <c r="Y131" s="3">
        <v>1</v>
      </c>
      <c r="Z131" s="3">
        <v>1</v>
      </c>
      <c r="AA131" s="3">
        <v>1</v>
      </c>
      <c r="AB131" s="3">
        <v>1</v>
      </c>
      <c r="AC131" s="3">
        <v>1</v>
      </c>
      <c r="AD131"/>
      <c r="AE131" s="249" t="s">
        <v>160</v>
      </c>
      <c r="AF131" s="168"/>
      <c r="AG131"/>
      <c r="AM131" s="7" t="s">
        <v>85</v>
      </c>
      <c r="AN131"/>
      <c r="AO131" s="155"/>
      <c r="AP131" s="155"/>
      <c r="AQ131" s="255" t="s">
        <v>164</v>
      </c>
      <c r="AR131" s="277">
        <f ca="1">SUMPRODUCT(E119:$AC$119,$E$128:$AC$128,$E$131:$AC$131)+SUMPRODUCT(E120:$AC$120,$E$129:$AC$129,$E$131:$AC$131) + SUMPRODUCT($AD$109:$AD$118,$AO$109:$AO$118,$AR$109:$AR$118)+ SUMPRODUCT($AE$109:$AE$118,$AP$109:$AP$118,$AR$109:$AR$118)</f>
        <v>260199834.62970936</v>
      </c>
      <c r="AS131" s="155" t="s">
        <v>19</v>
      </c>
    </row>
    <row r="132" spans="1:48" s="17" customFormat="1" outlineLevel="1">
      <c r="A132" s="168"/>
      <c r="B132" s="301"/>
      <c r="C132" s="168"/>
      <c r="D132" s="239" t="s">
        <v>158</v>
      </c>
      <c r="E132" s="468">
        <f ca="1">IF(E$131=1,$AK$137,1)*E128</f>
        <v>3.2222223040075959</v>
      </c>
      <c r="F132" s="468">
        <f t="shared" ref="F132:AB133" ca="1" si="63">IF(F$131=1,$AK$137,1)*F128</f>
        <v>6.5191093780906435</v>
      </c>
      <c r="G132" s="468">
        <f ca="1">IF(G$131=1,$AK$137,1)*G128</f>
        <v>6.5191093780906435</v>
      </c>
      <c r="H132" s="468">
        <f t="shared" ca="1" si="63"/>
        <v>3.4217673976066711</v>
      </c>
      <c r="I132" s="468">
        <f t="shared" ca="1" si="63"/>
        <v>0</v>
      </c>
      <c r="J132" s="468">
        <f t="shared" ca="1" si="63"/>
        <v>5.6468732371071599</v>
      </c>
      <c r="K132" s="468">
        <f t="shared" ca="1" si="63"/>
        <v>9.0739673776232692</v>
      </c>
      <c r="L132" s="468">
        <f ca="1">IF(L$131=1,$AK$137,1)*L128</f>
        <v>3.2595546890453218</v>
      </c>
      <c r="M132" s="468">
        <f t="shared" ca="1" si="63"/>
        <v>1.611111152003798</v>
      </c>
      <c r="N132" s="468">
        <f ca="1">IF(N$131=1,$AK$137,1)*N128</f>
        <v>3.0355007791237676</v>
      </c>
      <c r="O132" s="468">
        <f t="shared" ca="1" si="63"/>
        <v>3.0355007791237676</v>
      </c>
      <c r="P132" s="468">
        <f t="shared" ca="1" si="63"/>
        <v>3.0355007791237676</v>
      </c>
      <c r="Q132" s="468">
        <f t="shared" ca="1" si="63"/>
        <v>3.0355007791237676</v>
      </c>
      <c r="R132" s="468">
        <f t="shared" ca="1" si="63"/>
        <v>3.0355007791237676</v>
      </c>
      <c r="S132" s="468">
        <f t="shared" ca="1" si="63"/>
        <v>3.0355007791237676</v>
      </c>
      <c r="T132" s="468">
        <f t="shared" ca="1" si="63"/>
        <v>3.0355007791237676</v>
      </c>
      <c r="U132" s="468">
        <f t="shared" ca="1" si="63"/>
        <v>3.0355007791237676</v>
      </c>
      <c r="V132" s="468">
        <f t="shared" ca="1" si="63"/>
        <v>3.0355007791237676</v>
      </c>
      <c r="W132" s="468">
        <f t="shared" ca="1" si="63"/>
        <v>3.0355007791237676</v>
      </c>
      <c r="X132" s="468">
        <f t="shared" ca="1" si="63"/>
        <v>3.0355007791237676</v>
      </c>
      <c r="Y132" s="468">
        <f t="shared" ca="1" si="63"/>
        <v>3.0355007791237676</v>
      </c>
      <c r="Z132" s="468">
        <f t="shared" ca="1" si="63"/>
        <v>6.8844218061702218</v>
      </c>
      <c r="AA132" s="468">
        <f t="shared" ca="1" si="63"/>
        <v>6.8844218061702218</v>
      </c>
      <c r="AB132" s="468">
        <f t="shared" ca="1" si="63"/>
        <v>6.8844218061702218</v>
      </c>
      <c r="AC132" s="468">
        <f ca="1">IF(AC$131=1,$AK$137,1)*AC128</f>
        <v>6.8844218061702218</v>
      </c>
      <c r="AD132" s="168"/>
      <c r="AE132" s="246">
        <f ca="1">SUMPRODUCT(E132:AC132,$E$119:$AC$119)+SUMPRODUCT($E$120:$AC$120,E133:AC133)</f>
        <v>217177824.06749153</v>
      </c>
      <c r="AF132" s="17" t="s">
        <v>19</v>
      </c>
      <c r="AG132"/>
      <c r="AH132"/>
      <c r="AI132"/>
      <c r="AJ132" s="253" t="s">
        <v>142</v>
      </c>
      <c r="AK132" s="251">
        <f ca="1">AR133</f>
        <v>1.0805591264119017</v>
      </c>
      <c r="AL132" s="168"/>
      <c r="AM132" s="254">
        <f ca="1">AS121/AK127</f>
        <v>0.22756858987028783</v>
      </c>
      <c r="AN132"/>
      <c r="AO132" s="155"/>
      <c r="AP132" s="155"/>
      <c r="AQ132" s="255" t="s">
        <v>165</v>
      </c>
      <c r="AR132" s="277">
        <f ca="1">AK128-AR131</f>
        <v>0</v>
      </c>
      <c r="AS132" s="155" t="s">
        <v>19</v>
      </c>
    </row>
    <row r="133" spans="1:48" s="17" customFormat="1" outlineLevel="1">
      <c r="A133"/>
      <c r="B133" s="301"/>
      <c r="C133"/>
      <c r="D133" s="239" t="s">
        <v>159</v>
      </c>
      <c r="E133" s="235">
        <f ca="1">IF(E$131=1,$AK$137,1)*E129</f>
        <v>0</v>
      </c>
      <c r="F133" s="235">
        <f ca="1">IF(F$131=1,$AK$137,1)*F129</f>
        <v>0</v>
      </c>
      <c r="G133" s="468">
        <f ca="1">IF(G$131=1,$AK$137,1)*G129</f>
        <v>5.8671984402815793</v>
      </c>
      <c r="H133" s="235">
        <f t="shared" ca="1" si="63"/>
        <v>0</v>
      </c>
      <c r="I133" s="235">
        <f t="shared" ca="1" si="63"/>
        <v>0</v>
      </c>
      <c r="J133" s="235">
        <f t="shared" ca="1" si="63"/>
        <v>0</v>
      </c>
      <c r="K133" s="235">
        <f t="shared" ca="1" si="63"/>
        <v>0</v>
      </c>
      <c r="L133" s="235">
        <f t="shared" ca="1" si="63"/>
        <v>0</v>
      </c>
      <c r="M133" s="235">
        <f t="shared" ca="1" si="63"/>
        <v>0</v>
      </c>
      <c r="N133" s="468">
        <f t="shared" ca="1" si="63"/>
        <v>2.7319507012113911</v>
      </c>
      <c r="O133" s="468">
        <f ca="1">IF(O$131=1,$AK$137,1)*O129</f>
        <v>2.7319507012113911</v>
      </c>
      <c r="P133" s="468">
        <f t="shared" ca="1" si="63"/>
        <v>2.7319507012113911</v>
      </c>
      <c r="Q133" s="468">
        <f t="shared" ca="1" si="63"/>
        <v>2.7319507012113911</v>
      </c>
      <c r="R133" s="468">
        <f t="shared" ca="1" si="63"/>
        <v>2.7319507012113911</v>
      </c>
      <c r="S133" s="468">
        <f t="shared" ca="1" si="63"/>
        <v>2.7319507012113911</v>
      </c>
      <c r="T133" s="468">
        <f t="shared" ca="1" si="63"/>
        <v>2.7319507012113911</v>
      </c>
      <c r="U133" s="468">
        <f t="shared" ca="1" si="63"/>
        <v>2.7319507012113911</v>
      </c>
      <c r="V133" s="468">
        <f t="shared" ca="1" si="63"/>
        <v>2.7319507012113911</v>
      </c>
      <c r="W133" s="468">
        <f t="shared" ca="1" si="63"/>
        <v>2.7319507012113911</v>
      </c>
      <c r="X133" s="468">
        <f t="shared" ca="1" si="63"/>
        <v>2.7319507012113911</v>
      </c>
      <c r="Y133" s="468">
        <f t="shared" ca="1" si="63"/>
        <v>2.7319507012113911</v>
      </c>
      <c r="Z133" s="235">
        <f t="shared" ca="1" si="63"/>
        <v>0</v>
      </c>
      <c r="AA133" s="235">
        <f t="shared" ca="1" si="63"/>
        <v>0</v>
      </c>
      <c r="AB133" s="235">
        <f t="shared" ca="1" si="63"/>
        <v>0</v>
      </c>
      <c r="AC133" s="235">
        <f ca="1">IF(AC$131=1,$AK$137,1)*AC129</f>
        <v>0</v>
      </c>
      <c r="AD133" s="1" t="s">
        <v>149</v>
      </c>
      <c r="AE133" s="174">
        <f ca="1">-$C$105+AE132</f>
        <v>6306844.5674915314</v>
      </c>
      <c r="AF133" s="17" t="s">
        <v>19</v>
      </c>
      <c r="AG133"/>
      <c r="AH133"/>
      <c r="AI133"/>
      <c r="AJ133" s="58" t="s">
        <v>162</v>
      </c>
      <c r="AK133" s="233">
        <f ca="1">AS122+AE133</f>
        <v>2.9802322387695313E-8</v>
      </c>
      <c r="AL133" s="148" t="s">
        <v>19</v>
      </c>
      <c r="AM133"/>
      <c r="AN133"/>
      <c r="AO133"/>
      <c r="AP133"/>
      <c r="AQ133"/>
      <c r="AR133" s="310">
        <f ca="1">(AK127-AR132)/AR131</f>
        <v>1.0805591264119017</v>
      </c>
      <c r="AS133" s="276"/>
    </row>
    <row r="134" spans="1:48" s="17" customFormat="1" outlineLevel="1">
      <c r="B134" s="271"/>
      <c r="D134" s="6"/>
      <c r="E134" s="57"/>
      <c r="F134" s="57"/>
      <c r="G134" s="57"/>
      <c r="H134" s="57"/>
      <c r="I134" s="57"/>
      <c r="J134" s="57"/>
      <c r="K134" s="57"/>
      <c r="L134" s="57"/>
      <c r="M134" s="57"/>
      <c r="N134" s="57"/>
      <c r="O134" s="57"/>
      <c r="P134" s="57"/>
      <c r="Q134" s="57"/>
      <c r="R134" s="57"/>
      <c r="S134" s="57"/>
      <c r="T134" s="57"/>
      <c r="U134" s="57"/>
      <c r="V134" s="57"/>
      <c r="W134" s="57"/>
      <c r="X134" s="57"/>
      <c r="Y134" s="57"/>
      <c r="Z134" s="57"/>
      <c r="AA134" s="57"/>
      <c r="AB134" s="57"/>
      <c r="AC134" s="57"/>
      <c r="AD134" s="274"/>
      <c r="AE134" s="275"/>
      <c r="AF134" s="183"/>
      <c r="AG134" s="183"/>
      <c r="AH134" s="268"/>
      <c r="AI134" s="183"/>
      <c r="AL134" s="267"/>
      <c r="AM134" s="268"/>
      <c r="AN134" s="267"/>
      <c r="AO134" s="269"/>
      <c r="AP134" s="269"/>
      <c r="AQ134" s="173"/>
    </row>
    <row r="135" spans="1:48" s="17" customFormat="1" outlineLevel="1">
      <c r="B135" s="3"/>
      <c r="C135" s="3"/>
      <c r="D135" s="3"/>
      <c r="E135" s="3"/>
      <c r="F135" s="3"/>
      <c r="G135" s="3"/>
      <c r="H135" s="57"/>
      <c r="I135" s="57"/>
      <c r="J135" s="57"/>
      <c r="K135" s="57"/>
      <c r="L135" s="57"/>
      <c r="M135" s="57"/>
      <c r="N135" s="57"/>
      <c r="O135" s="57"/>
      <c r="P135" s="57"/>
      <c r="Q135" s="57"/>
      <c r="R135" s="57"/>
      <c r="S135" s="57"/>
      <c r="T135" s="57"/>
      <c r="U135" s="57"/>
      <c r="V135" s="57"/>
      <c r="W135" s="57"/>
      <c r="X135" s="57"/>
      <c r="Y135" s="57"/>
      <c r="Z135" s="57"/>
      <c r="AA135" s="57"/>
      <c r="AB135" s="57"/>
      <c r="AC135" s="57"/>
      <c r="AD135" s="274"/>
      <c r="AE135" s="275"/>
      <c r="AF135" s="183"/>
      <c r="AG135" s="183"/>
      <c r="AH135" s="268"/>
      <c r="AI135" s="183"/>
      <c r="AJ135" s="278" t="s">
        <v>175</v>
      </c>
      <c r="AK135" s="279" t="b">
        <v>1</v>
      </c>
      <c r="AL135" s="267"/>
      <c r="AM135" s="267"/>
      <c r="AN135" s="267"/>
      <c r="AO135" s="269"/>
      <c r="AP135" s="269"/>
      <c r="AQ135" s="173"/>
    </row>
    <row r="136" spans="1:48" s="17" customFormat="1" outlineLevel="1">
      <c r="B136" s="3"/>
      <c r="C136" s="4"/>
      <c r="D136" s="4"/>
      <c r="E136" s="17">
        <v>1.4552539892460783</v>
      </c>
      <c r="F136" s="4">
        <v>2.8875190196317417</v>
      </c>
      <c r="G136">
        <v>2.8875190196317417</v>
      </c>
      <c r="H136" s="12">
        <v>1.4842734081471474</v>
      </c>
      <c r="I136" s="12">
        <v>0</v>
      </c>
      <c r="J136" s="6">
        <v>2.5400643475624087</v>
      </c>
      <c r="K136" s="6">
        <v>4.0543971025219712</v>
      </c>
      <c r="L136" s="6">
        <v>2.8875190196317417</v>
      </c>
      <c r="M136" s="266">
        <v>1.4552539892460783</v>
      </c>
      <c r="N136" s="6">
        <v>1.3109671287856193</v>
      </c>
      <c r="O136" s="175">
        <v>1.3109671287856193</v>
      </c>
      <c r="P136" s="183">
        <v>1.3109671287856193</v>
      </c>
      <c r="Q136" s="175">
        <v>1.3109671287856193</v>
      </c>
      <c r="R136" s="6">
        <v>1.3109671287856193</v>
      </c>
      <c r="S136" s="6">
        <v>1.3109671287856193</v>
      </c>
      <c r="T136" s="183">
        <v>1.3109671287856193</v>
      </c>
      <c r="U136" s="175">
        <v>1.3109671287856193</v>
      </c>
      <c r="V136" s="6">
        <v>1.3109671287856193</v>
      </c>
      <c r="W136" s="6">
        <v>1.3109671287856193</v>
      </c>
      <c r="X136" s="183">
        <v>1.3109671287856193</v>
      </c>
      <c r="Y136" s="183">
        <v>1.3109671287856193</v>
      </c>
      <c r="Z136" s="268">
        <v>3.133369251341843</v>
      </c>
      <c r="AA136" s="183">
        <v>3.133369251341843</v>
      </c>
      <c r="AB136" s="183">
        <v>3.133369251341843</v>
      </c>
      <c r="AC136" s="268">
        <v>3.133369251341843</v>
      </c>
      <c r="AD136" s="267"/>
      <c r="AE136" s="268"/>
      <c r="AF136" s="183"/>
      <c r="AG136" s="183"/>
      <c r="AH136" s="268"/>
      <c r="AI136" s="183"/>
      <c r="AJ136" s="253" t="s">
        <v>173</v>
      </c>
      <c r="AK136" s="251">
        <f ca="1">IF($AK$135,AK132,($AJ$120-SUMPRODUCT(AD109:AD118*AO109:AO118*(AR109:AR118=0))-SUMPRODUCT(AE109:AE118*AP109:AP118*(AR109:AR118=0)))/(SUMPRODUCT(AD109:AD118,AO109:AO118,AR109:AR118)+SUMPRODUCT(AE109:AE118,AP109:AP118,AR109:AR118)))</f>
        <v>1.0805591264119017</v>
      </c>
      <c r="AL136" s="267"/>
      <c r="AM136" s="11"/>
      <c r="AN136" s="267"/>
      <c r="AO136" s="269"/>
      <c r="AP136" s="269"/>
      <c r="AQ136" s="173"/>
    </row>
    <row r="137" spans="1:48" s="17" customFormat="1" outlineLevel="1">
      <c r="B137" s="3"/>
      <c r="D137" s="496"/>
      <c r="E137" s="496">
        <v>0</v>
      </c>
      <c r="F137" s="4">
        <v>0</v>
      </c>
      <c r="G137">
        <v>2.5987671176685678</v>
      </c>
      <c r="H137" s="12">
        <v>0</v>
      </c>
      <c r="I137" s="12">
        <v>0</v>
      </c>
      <c r="J137" s="6">
        <v>0</v>
      </c>
      <c r="K137" s="6">
        <v>0</v>
      </c>
      <c r="L137" s="6">
        <v>0</v>
      </c>
      <c r="M137" s="266">
        <v>0</v>
      </c>
      <c r="N137" s="6">
        <v>1.1798704159070574</v>
      </c>
      <c r="O137" s="175">
        <v>1.1798704159070574</v>
      </c>
      <c r="P137" s="183">
        <v>1.1798704159070574</v>
      </c>
      <c r="Q137" s="175">
        <v>1.1798704159070574</v>
      </c>
      <c r="R137" s="6">
        <v>1.1798704159070574</v>
      </c>
      <c r="S137" s="6">
        <v>1.1798704159070574</v>
      </c>
      <c r="T137" s="183">
        <v>1.1798704159070574</v>
      </c>
      <c r="U137" s="175">
        <v>1.1798704159070574</v>
      </c>
      <c r="V137" s="6">
        <v>1.1798704159070574</v>
      </c>
      <c r="W137" s="6">
        <v>1.1798704159070574</v>
      </c>
      <c r="X137" s="183">
        <v>1.1798704159070574</v>
      </c>
      <c r="Y137" s="183">
        <v>1.1798704159070574</v>
      </c>
      <c r="Z137" s="268">
        <v>0</v>
      </c>
      <c r="AA137" s="183">
        <v>0</v>
      </c>
      <c r="AB137" s="183">
        <v>0</v>
      </c>
      <c r="AC137" s="268">
        <v>0</v>
      </c>
      <c r="AD137" s="267"/>
      <c r="AE137" s="268"/>
      <c r="AF137" s="183"/>
      <c r="AG137" s="183"/>
      <c r="AH137" s="268"/>
      <c r="AI137" s="183"/>
      <c r="AJ137" s="253" t="s">
        <v>174</v>
      </c>
      <c r="AK137" s="251">
        <f ca="1">IF($AK$135,AK132,($C$105-SUMPRODUCT(E119:AC119*E128:AC128*(E131:AC131=0))-SUMPRODUCT(E120:AC120*E129:AC129*(E131:AC131=0)))/(SUMPRODUCT(E131:AC131,E128:AC128,E119:AC119)+SUMPRODUCT(E131:AC131,E129:AC129,E120:AC120)))</f>
        <v>1.0805591264119017</v>
      </c>
      <c r="AL137" s="267"/>
      <c r="AM137" s="11"/>
      <c r="AN137" s="267"/>
      <c r="AO137" s="269"/>
      <c r="AP137" s="269"/>
      <c r="AQ137" s="173"/>
    </row>
    <row r="138" spans="1:48" s="17" customFormat="1" ht="14.45" customHeight="1" outlineLevel="1">
      <c r="B138" s="3"/>
      <c r="C138" s="4"/>
      <c r="D138" s="4"/>
      <c r="E138" s="146"/>
      <c r="F138" s="4"/>
      <c r="G138"/>
      <c r="H138" s="12"/>
      <c r="I138" s="12"/>
      <c r="J138" s="6"/>
      <c r="K138" s="6"/>
      <c r="L138" s="6"/>
      <c r="M138" s="266"/>
      <c r="N138" s="6"/>
      <c r="O138" s="175"/>
      <c r="P138" s="183"/>
      <c r="Q138" s="175"/>
      <c r="R138" s="6"/>
      <c r="S138" s="6"/>
      <c r="T138" s="183"/>
      <c r="U138" s="175"/>
      <c r="V138" s="6"/>
      <c r="W138" s="6"/>
      <c r="X138" s="183"/>
      <c r="Y138" s="183"/>
      <c r="Z138" s="268"/>
      <c r="AA138" s="183"/>
      <c r="AB138" s="183"/>
      <c r="AC138" s="268"/>
      <c r="AD138" s="267"/>
      <c r="AE138" s="268"/>
      <c r="AF138" s="183"/>
      <c r="AG138" s="183"/>
      <c r="AH138" s="268"/>
      <c r="AI138" s="183"/>
      <c r="AJ138" s="183"/>
      <c r="AK138" s="268"/>
      <c r="AL138" s="267"/>
      <c r="AM138" s="11"/>
      <c r="AN138" s="267"/>
      <c r="AO138" s="269"/>
      <c r="AP138" s="269"/>
      <c r="AQ138" s="173"/>
    </row>
    <row r="140" spans="1:48" ht="18.75">
      <c r="A140" s="60" t="s">
        <v>301</v>
      </c>
      <c r="B140" s="60"/>
      <c r="C140" s="60"/>
      <c r="D140" s="60"/>
      <c r="E140" s="60"/>
      <c r="F140" s="60"/>
      <c r="G140" s="60"/>
      <c r="H140" s="61"/>
      <c r="I140" s="61"/>
      <c r="J140" s="60"/>
      <c r="K140" s="60"/>
      <c r="L140" s="60"/>
      <c r="M140" s="60"/>
      <c r="N140" s="60"/>
      <c r="O140" s="60"/>
      <c r="P140" s="60"/>
      <c r="Q140" s="60"/>
      <c r="R140" s="60"/>
      <c r="S140" s="60"/>
      <c r="T140" s="60"/>
      <c r="U140" s="60"/>
      <c r="V140" s="60"/>
      <c r="W140" s="60"/>
      <c r="X140" s="60"/>
      <c r="Y140" s="60"/>
      <c r="Z140" s="60"/>
      <c r="AA140" s="60"/>
      <c r="AB140" s="60"/>
      <c r="AC140" s="60"/>
      <c r="AD140" s="60"/>
      <c r="AE140" s="60"/>
      <c r="AF140" s="60"/>
      <c r="AG140" s="60"/>
      <c r="AH140" s="60"/>
      <c r="AI140" s="60"/>
      <c r="AJ140" s="60"/>
      <c r="AK140" s="60"/>
      <c r="AL140" s="60"/>
      <c r="AM140" s="60"/>
      <c r="AN140" s="60"/>
      <c r="AO140" s="60"/>
      <c r="AP140" s="60"/>
      <c r="AQ140" s="60"/>
      <c r="AR140" s="60"/>
      <c r="AS140" s="60"/>
      <c r="AT140" s="60"/>
      <c r="AU140" s="60"/>
      <c r="AV140" s="60"/>
    </row>
    <row r="141" spans="1:48">
      <c r="A141" s="1" t="s">
        <v>223</v>
      </c>
      <c r="B141" s="187" t="s">
        <v>206</v>
      </c>
      <c r="H141"/>
      <c r="I141"/>
    </row>
    <row r="142" spans="1:48">
      <c r="E142" s="324" t="s">
        <v>82</v>
      </c>
      <c r="F142" s="324" t="s">
        <v>82</v>
      </c>
      <c r="G142" s="324" t="s">
        <v>82</v>
      </c>
      <c r="H142" s="324" t="s">
        <v>82</v>
      </c>
      <c r="I142" s="324" t="s">
        <v>82</v>
      </c>
      <c r="J142" s="324" t="s">
        <v>82</v>
      </c>
      <c r="K142" s="324" t="s">
        <v>82</v>
      </c>
      <c r="L142" s="325" t="s">
        <v>83</v>
      </c>
      <c r="M142" s="325" t="s">
        <v>82</v>
      </c>
      <c r="N142" s="316" t="s">
        <v>83</v>
      </c>
      <c r="O142" s="316" t="s">
        <v>83</v>
      </c>
      <c r="P142" s="316" t="s">
        <v>83</v>
      </c>
      <c r="Q142" s="316" t="s">
        <v>83</v>
      </c>
      <c r="R142" s="316" t="s">
        <v>83</v>
      </c>
      <c r="S142" s="316" t="s">
        <v>83</v>
      </c>
      <c r="T142" s="316" t="s">
        <v>83</v>
      </c>
      <c r="U142" s="316" t="s">
        <v>83</v>
      </c>
      <c r="V142" s="316" t="s">
        <v>83</v>
      </c>
      <c r="W142" s="316" t="s">
        <v>83</v>
      </c>
      <c r="X142" s="316" t="s">
        <v>83</v>
      </c>
      <c r="Y142" s="316" t="s">
        <v>83</v>
      </c>
      <c r="Z142" s="316" t="s">
        <v>83</v>
      </c>
      <c r="AA142" s="316" t="s">
        <v>83</v>
      </c>
      <c r="AB142" s="316" t="s">
        <v>83</v>
      </c>
      <c r="AC142" s="316" t="s">
        <v>83</v>
      </c>
    </row>
    <row r="143" spans="1:48">
      <c r="D143" s="187"/>
      <c r="E143" s="267" t="str">
        <f t="shared" ref="E143:AE155" si="64">E107</f>
        <v>Exit</v>
      </c>
      <c r="F143" s="267" t="str">
        <f t="shared" si="64"/>
        <v>Exit</v>
      </c>
      <c r="G143" s="267" t="str">
        <f t="shared" si="64"/>
        <v>Exit</v>
      </c>
      <c r="H143" s="267" t="str">
        <f t="shared" si="64"/>
        <v>Exit</v>
      </c>
      <c r="I143" s="267" t="str">
        <f t="shared" si="64"/>
        <v>Exit</v>
      </c>
      <c r="J143" s="267" t="str">
        <f t="shared" si="64"/>
        <v>Exit</v>
      </c>
      <c r="K143" s="267" t="str">
        <f t="shared" si="64"/>
        <v>Exit</v>
      </c>
      <c r="L143" s="267" t="str">
        <f t="shared" si="64"/>
        <v>Exit</v>
      </c>
      <c r="M143" s="267" t="str">
        <f t="shared" si="64"/>
        <v>Exit</v>
      </c>
      <c r="N143" s="267" t="str">
        <f t="shared" si="64"/>
        <v>Exit</v>
      </c>
      <c r="O143" s="267" t="str">
        <f t="shared" si="64"/>
        <v>Exit</v>
      </c>
      <c r="P143" s="267" t="str">
        <f t="shared" si="64"/>
        <v>Exit</v>
      </c>
      <c r="Q143" s="267" t="str">
        <f t="shared" si="64"/>
        <v>Exit</v>
      </c>
      <c r="R143" s="267" t="str">
        <f t="shared" si="64"/>
        <v>Exit</v>
      </c>
      <c r="S143" s="267" t="str">
        <f t="shared" si="64"/>
        <v>Exit</v>
      </c>
      <c r="T143" s="267" t="str">
        <f t="shared" si="64"/>
        <v>Exit</v>
      </c>
      <c r="U143" s="267" t="str">
        <f t="shared" si="64"/>
        <v>Exit</v>
      </c>
      <c r="V143" s="267" t="str">
        <f t="shared" si="64"/>
        <v>Exit</v>
      </c>
      <c r="W143" s="267" t="str">
        <f t="shared" si="64"/>
        <v>Exit</v>
      </c>
      <c r="X143" s="267" t="str">
        <f t="shared" si="64"/>
        <v>Exit</v>
      </c>
      <c r="Y143" s="267" t="str">
        <f t="shared" si="64"/>
        <v>Exit</v>
      </c>
      <c r="Z143" s="267" t="str">
        <f t="shared" si="64"/>
        <v>Exit</v>
      </c>
      <c r="AA143" s="267" t="str">
        <f t="shared" si="64"/>
        <v>Exit</v>
      </c>
      <c r="AB143" s="267" t="str">
        <f t="shared" si="64"/>
        <v>Exit</v>
      </c>
      <c r="AC143" s="267" t="str">
        <f t="shared" si="64"/>
        <v>Exit</v>
      </c>
      <c r="AD143" s="267" t="str">
        <f t="shared" si="64"/>
        <v>FZK</v>
      </c>
      <c r="AE143" s="267" t="str">
        <f t="shared" si="64"/>
        <v>DZK</v>
      </c>
      <c r="AR143" s="3"/>
    </row>
    <row r="144" spans="1:48" ht="62.25" customHeight="1" thickBot="1">
      <c r="B144" s="17"/>
      <c r="D144" s="187"/>
      <c r="E144" s="204" t="str">
        <f t="shared" si="64"/>
        <v>Baumgarten</v>
      </c>
      <c r="F144" s="204" t="str">
        <f t="shared" si="64"/>
        <v>Oberkappel</v>
      </c>
      <c r="G144" s="204" t="str">
        <f t="shared" si="64"/>
        <v>Überackern</v>
      </c>
      <c r="H144" s="204" t="str">
        <f t="shared" si="64"/>
        <v>Mosonmagyarovar</v>
      </c>
      <c r="I144" s="204" t="str">
        <f t="shared" si="64"/>
        <v>Petrzalka</v>
      </c>
      <c r="J144" s="204" t="str">
        <f t="shared" si="64"/>
        <v>Murfeld</v>
      </c>
      <c r="K144" s="204" t="str">
        <f t="shared" si="64"/>
        <v>Arnoldstein</v>
      </c>
      <c r="L144" s="204" t="str">
        <f t="shared" si="64"/>
        <v>Storage 7-fields</v>
      </c>
      <c r="M144" s="204" t="str">
        <f t="shared" si="64"/>
        <v>Storage MAB</v>
      </c>
      <c r="N144" s="204" t="str">
        <f t="shared" si="64"/>
        <v>Auersthal</v>
      </c>
      <c r="O144" s="204" t="str">
        <f t="shared" si="64"/>
        <v>Kirchberg</v>
      </c>
      <c r="P144" s="204" t="str">
        <f t="shared" si="64"/>
        <v>Gr. Göttfritz</v>
      </c>
      <c r="Q144" s="204" t="str">
        <f t="shared" si="64"/>
        <v>Rainbach</v>
      </c>
      <c r="R144" s="204" t="str">
        <f t="shared" si="64"/>
        <v>Bad Leonfelden</v>
      </c>
      <c r="S144" s="204" t="str">
        <f t="shared" si="64"/>
        <v>Arnreith</v>
      </c>
      <c r="T144" s="204" t="str">
        <f t="shared" si="64"/>
        <v>Baumgarten-PVS2</v>
      </c>
      <c r="U144" s="204" t="str">
        <f t="shared" si="64"/>
        <v>Eggendorf</v>
      </c>
      <c r="V144" s="204" t="str">
        <f t="shared" si="64"/>
        <v>Grafendorf</v>
      </c>
      <c r="W144" s="204" t="str">
        <f t="shared" si="64"/>
        <v>St. Margarethen</v>
      </c>
      <c r="X144" s="204" t="str">
        <f t="shared" si="64"/>
        <v>Weitendorf</v>
      </c>
      <c r="Y144" s="204" t="str">
        <f t="shared" si="64"/>
        <v>Sulmeck-Greith</v>
      </c>
      <c r="Z144" s="204" t="str">
        <f t="shared" si="64"/>
        <v>Ettendorf</v>
      </c>
      <c r="AA144" s="204" t="str">
        <f t="shared" si="64"/>
        <v>Waisenberg</v>
      </c>
      <c r="AB144" s="204" t="str">
        <f t="shared" si="64"/>
        <v>Ebenthal</v>
      </c>
      <c r="AC144" s="204" t="str">
        <f t="shared" si="64"/>
        <v>Finkenstein</v>
      </c>
      <c r="AD144" s="185" t="str">
        <f t="shared" si="64"/>
        <v>forecasted capacity (kWh/h)</v>
      </c>
      <c r="AE144" s="185" t="str">
        <f t="shared" si="64"/>
        <v>forecasted capacity (kWh/h)</v>
      </c>
      <c r="AF144" s="322" t="s">
        <v>209</v>
      </c>
      <c r="AG144" s="295" t="s">
        <v>207</v>
      </c>
      <c r="AH144" s="20" t="s">
        <v>78</v>
      </c>
      <c r="AI144" s="20" t="s">
        <v>79</v>
      </c>
      <c r="AJ144" s="20" t="s">
        <v>76</v>
      </c>
      <c r="AK144" s="20" t="s">
        <v>77</v>
      </c>
      <c r="AL144" s="20" t="s">
        <v>213</v>
      </c>
      <c r="AM144" s="20" t="s">
        <v>214</v>
      </c>
      <c r="AO144" s="322" t="s">
        <v>215</v>
      </c>
      <c r="AP144" s="322" t="s">
        <v>221</v>
      </c>
      <c r="AQ144" s="322" t="s">
        <v>222</v>
      </c>
    </row>
    <row r="145" spans="2:43" ht="15.75" thickBot="1">
      <c r="B145" s="188" t="str">
        <f t="shared" ref="B145:B156" si="65">B109</f>
        <v>Entry</v>
      </c>
      <c r="D145" s="188" t="str">
        <f t="shared" ref="D145:S156" si="66">D109</f>
        <v>Baumgarten</v>
      </c>
      <c r="E145" s="190">
        <f t="shared" si="66"/>
        <v>0</v>
      </c>
      <c r="F145" s="190">
        <f t="shared" si="64"/>
        <v>245</v>
      </c>
      <c r="G145" s="190">
        <f t="shared" si="64"/>
        <v>340</v>
      </c>
      <c r="H145" s="190">
        <f t="shared" si="64"/>
        <v>49</v>
      </c>
      <c r="I145" s="190">
        <f t="shared" si="64"/>
        <v>39</v>
      </c>
      <c r="J145" s="190">
        <f t="shared" si="64"/>
        <v>241</v>
      </c>
      <c r="K145" s="190">
        <f t="shared" si="64"/>
        <v>384.59447</v>
      </c>
      <c r="L145" s="190">
        <f t="shared" si="64"/>
        <v>337</v>
      </c>
      <c r="M145" s="190">
        <f t="shared" si="64"/>
        <v>5</v>
      </c>
      <c r="N145" s="190">
        <f t="shared" si="64"/>
        <v>27</v>
      </c>
      <c r="O145" s="190">
        <f t="shared" si="64"/>
        <v>81</v>
      </c>
      <c r="P145" s="190">
        <f t="shared" si="64"/>
        <v>136</v>
      </c>
      <c r="Q145" s="190">
        <f t="shared" si="64"/>
        <v>188</v>
      </c>
      <c r="R145" s="190">
        <f t="shared" si="64"/>
        <v>205</v>
      </c>
      <c r="S145" s="190">
        <f t="shared" si="64"/>
        <v>225</v>
      </c>
      <c r="T145" s="190">
        <f t="shared" si="64"/>
        <v>3.05</v>
      </c>
      <c r="U145" s="190">
        <f t="shared" si="64"/>
        <v>74.84778</v>
      </c>
      <c r="V145" s="190">
        <f t="shared" si="64"/>
        <v>140.48994999999999</v>
      </c>
      <c r="W145" s="190">
        <f t="shared" si="64"/>
        <v>183.23273</v>
      </c>
      <c r="X145" s="190">
        <f t="shared" si="64"/>
        <v>213.69001</v>
      </c>
      <c r="Y145" s="190">
        <f t="shared" si="64"/>
        <v>234.34958</v>
      </c>
      <c r="Z145" s="190">
        <f t="shared" si="64"/>
        <v>271.73602</v>
      </c>
      <c r="AA145" s="190">
        <f t="shared" si="64"/>
        <v>303.39652000000001</v>
      </c>
      <c r="AB145" s="190">
        <f t="shared" si="64"/>
        <v>323.51218999999998</v>
      </c>
      <c r="AC145" s="190">
        <f t="shared" si="64"/>
        <v>364.42469</v>
      </c>
      <c r="AD145" s="451">
        <f t="shared" ca="1" si="64"/>
        <v>11606664</v>
      </c>
      <c r="AE145" s="272">
        <f t="shared" si="64"/>
        <v>0</v>
      </c>
      <c r="AF145" s="47">
        <f ca="1">SUM(AD145:AE145)/1000</f>
        <v>11606.664000000001</v>
      </c>
      <c r="AG145" s="158">
        <f t="shared" ref="AG145:AG154" ca="1" si="67">AF109</f>
        <v>93.183792671463024</v>
      </c>
      <c r="AH145" s="180" cm="1">
        <f t="array" aca="1" ref="AH145" ca="1">(SUMPRODUCT(E145:AC145*$E$155:$AC$155*($E$142:$AC$142="Intra"))+SUMPRODUCT(E145:AC145*$E$156:$AC$156*AZ109:BX109*($E$142:$AC$142="Intra")))/(SUMPRODUCT($E$155:$AC$155*(E109:AC109&lt;&gt;0)*($E$142:$AC$142="Intra"))+SUMPRODUCT($E$156:$AC$156*AZ109:BX109*(E109:AC109&lt;&gt;0)*($E$142:$AC$142="Intra")))</f>
        <v>31.296787460123472</v>
      </c>
      <c r="AI145" s="180" cm="1">
        <f t="array" aca="1" ref="AI145" ca="1">(SUMPRODUCT(E145:AC145*$E$155:$AC$155*($E$142:$AC$142="Cross"))+SUMPRODUCT(E145:AC145*$E$156:$AC$156*AZ109:BX109*($E$142:$AC$142="Cross")))/(SUMPRODUCT($E$155:$AC$155*(E145:AC145&lt;&gt;0)*($E$142:$AC$142="Cross"))+SUMPRODUCT($E$156:$AC$156*AZ109:BX109*(E109:AC109&lt;&gt;0)*($E$142:$AC$142="Cross")))</f>
        <v>182.96882483969438</v>
      </c>
      <c r="AJ145" s="323">
        <f ca="1">AF145-AK145</f>
        <v>4385.6552166263255</v>
      </c>
      <c r="AK145" s="323">
        <f ca="1">AF145/SUM($AF$145:$AF$154)*SUMIFS($E$157:$AC$157,$E$142:$AC$142,"Cross")</f>
        <v>7221.0087833736752</v>
      </c>
      <c r="AL145" s="323">
        <f ca="1">AH145*AJ145</f>
        <v>137256.91918813589</v>
      </c>
      <c r="AM145" s="323">
        <f ca="1">AI145*AK145</f>
        <v>1321219.4912509925</v>
      </c>
      <c r="AO145" s="66">
        <f t="shared" ref="AO145:AO154" ca="1" si="68">IFERROR(SUMPRODUCT(AP145:AQ145,AD145:AE145)/SUM(AD145:AE145),0)</f>
        <v>2.7736328397447485</v>
      </c>
      <c r="AP145" s="65">
        <f ca="1">SUMIFS($J$53:$J$98,$F$53:$F$98,D145,$D$53:$D$98,$B145,$E$53:$E$98,"FZK")/2</f>
        <v>2.7736328397447485</v>
      </c>
      <c r="AQ145" s="65">
        <f>SUMIFS($J$53:$J$98,$F$53:$F$98,D145,$D$53:$D$98,$B145,$E$53:$E$98,"DZK")/2</f>
        <v>0</v>
      </c>
    </row>
    <row r="146" spans="2:43" ht="15.75" thickBot="1">
      <c r="B146" s="188" t="str">
        <f t="shared" si="65"/>
        <v>Entry</v>
      </c>
      <c r="D146" s="188" t="str">
        <f t="shared" si="66"/>
        <v>Oberkappel</v>
      </c>
      <c r="E146" s="190">
        <f t="shared" si="66"/>
        <v>245</v>
      </c>
      <c r="F146" s="190">
        <f t="shared" si="64"/>
        <v>0</v>
      </c>
      <c r="G146" s="190">
        <f t="shared" si="64"/>
        <v>95</v>
      </c>
      <c r="H146" s="190">
        <f t="shared" si="64"/>
        <v>288</v>
      </c>
      <c r="I146" s="190">
        <f t="shared" si="64"/>
        <v>278</v>
      </c>
      <c r="J146" s="190">
        <f t="shared" si="64"/>
        <v>480</v>
      </c>
      <c r="K146" s="190">
        <f t="shared" si="64"/>
        <v>623.59447</v>
      </c>
      <c r="L146" s="190">
        <f t="shared" si="64"/>
        <v>92</v>
      </c>
      <c r="M146" s="190">
        <f t="shared" si="64"/>
        <v>244</v>
      </c>
      <c r="N146" s="190">
        <f t="shared" si="64"/>
        <v>218</v>
      </c>
      <c r="O146" s="190">
        <f t="shared" si="64"/>
        <v>164</v>
      </c>
      <c r="P146" s="190">
        <f t="shared" si="64"/>
        <v>109</v>
      </c>
      <c r="Q146" s="190">
        <f t="shared" si="64"/>
        <v>57</v>
      </c>
      <c r="R146" s="190">
        <f t="shared" si="64"/>
        <v>40</v>
      </c>
      <c r="S146" s="190">
        <f t="shared" si="64"/>
        <v>20</v>
      </c>
      <c r="T146" s="190">
        <f t="shared" si="64"/>
        <v>241.95</v>
      </c>
      <c r="U146" s="190">
        <f t="shared" si="64"/>
        <v>313.84778</v>
      </c>
      <c r="V146" s="190">
        <f t="shared" si="64"/>
        <v>379.48995000000002</v>
      </c>
      <c r="W146" s="190">
        <f t="shared" si="64"/>
        <v>422.23273</v>
      </c>
      <c r="X146" s="190">
        <f t="shared" si="64"/>
        <v>452.69001000000003</v>
      </c>
      <c r="Y146" s="190">
        <f t="shared" si="64"/>
        <v>473.34958</v>
      </c>
      <c r="Z146" s="190">
        <f t="shared" si="64"/>
        <v>510.73602</v>
      </c>
      <c r="AA146" s="190">
        <f t="shared" si="64"/>
        <v>542.39652000000001</v>
      </c>
      <c r="AB146" s="190">
        <f t="shared" si="64"/>
        <v>562.51218999999992</v>
      </c>
      <c r="AC146" s="190">
        <f t="shared" si="64"/>
        <v>603.42469000000006</v>
      </c>
      <c r="AD146" s="452">
        <f t="shared" ca="1" si="64"/>
        <v>7618999</v>
      </c>
      <c r="AE146" s="273">
        <f t="shared" si="64"/>
        <v>0</v>
      </c>
      <c r="AF146" s="47">
        <f t="shared" ref="AF146:AF154" ca="1" si="69">SUM(AD146:AE146)/1000</f>
        <v>7618.9989999999998</v>
      </c>
      <c r="AG146" s="158">
        <f t="shared" ca="1" si="67"/>
        <v>306.79948816784452</v>
      </c>
      <c r="AH146" s="180" cm="1">
        <f t="array" aca="1" ref="AH146" ca="1">(SUMPRODUCT(E146:AC146*$E$155:$AC$155*($E$142:$AC$142="Intra"))+SUMPRODUCT(E146:AC146*$E$156:$AC$156*AZ110:BX110*($E$142:$AC$142="Intra")))/(SUMPRODUCT($E$155:$AC$155*(E110:AC110&lt;&gt;0)*($E$142:$AC$142="Intra"))+SUMPRODUCT($E$156:$AC$156*AZ110:BX110*(E110:AC110&lt;&gt;0)*($E$142:$AC$142="Intra")))</f>
        <v>251.25589095012279</v>
      </c>
      <c r="AI146" s="180" cm="1">
        <f t="array" aca="1" ref="AI146" ca="1">(SUMPRODUCT(E146:AC146*$E$155:$AC$155*($E$142:$AC$142="Cross"))+SUMPRODUCT(E146:AC146*$E$156:$AC$156*AZ110:BX110*($E$142:$AC$142="Cross")))/(SUMPRODUCT($E$155:$AC$155*(E146:AC146&lt;&gt;0)*($E$142:$AC$142="Cross"))+SUMPRODUCT($E$156:$AC$156*AZ110:BX110*(E110:AC110&lt;&gt;0)*($E$142:$AC$142="Cross")))</f>
        <v>384.35072472713642</v>
      </c>
      <c r="AJ146" s="323">
        <f t="shared" ref="AJ146" ca="1" si="70">AF146-AK146</f>
        <v>2878.8894646920735</v>
      </c>
      <c r="AK146" s="323">
        <f ca="1">AF146/SUM($AF$145:$AF$154)*SUMIFS($E$157:$AC$157,$E$142:$AC$142,"Cross")</f>
        <v>4740.1095353079263</v>
      </c>
      <c r="AL146" s="323">
        <f t="shared" ref="AL146:AM154" ca="1" si="71">AH146*AJ146</f>
        <v>723337.93739812903</v>
      </c>
      <c r="AM146" s="323">
        <f t="shared" ca="1" si="71"/>
        <v>1821864.5351816113</v>
      </c>
      <c r="AO146" s="66">
        <f t="shared" ca="1" si="68"/>
        <v>2.7736328397447485</v>
      </c>
      <c r="AP146" s="4">
        <f ca="1">SUMIFS($J$53:$J$98,$F$53:$F$98,D146,$D$53:$D$98,$B146,$E$53:$E$98,"FZK")</f>
        <v>2.7736328397447485</v>
      </c>
      <c r="AQ146" s="4">
        <f>SUMIFS($J$53:$J$98,$F$53:$F$98,D146,$D$53:$D$98,$B146,$E$53:$E$98,"DZK")</f>
        <v>0</v>
      </c>
    </row>
    <row r="147" spans="2:43" ht="15.75" thickBot="1">
      <c r="B147" s="188" t="str">
        <f t="shared" si="65"/>
        <v>Entry</v>
      </c>
      <c r="D147" s="188" t="str">
        <f t="shared" si="66"/>
        <v>Überackern</v>
      </c>
      <c r="E147" s="190">
        <f t="shared" si="66"/>
        <v>340</v>
      </c>
      <c r="F147" s="190">
        <f t="shared" si="64"/>
        <v>95</v>
      </c>
      <c r="G147" s="190">
        <f t="shared" si="64"/>
        <v>0</v>
      </c>
      <c r="H147" s="190">
        <f t="shared" si="64"/>
        <v>383</v>
      </c>
      <c r="I147" s="190">
        <f t="shared" si="64"/>
        <v>373</v>
      </c>
      <c r="J147" s="190">
        <f t="shared" si="64"/>
        <v>575</v>
      </c>
      <c r="K147" s="190">
        <f t="shared" si="64"/>
        <v>718.59447</v>
      </c>
      <c r="L147" s="190">
        <f t="shared" si="64"/>
        <v>3</v>
      </c>
      <c r="M147" s="190">
        <f t="shared" si="64"/>
        <v>339</v>
      </c>
      <c r="N147" s="190">
        <f t="shared" si="64"/>
        <v>313</v>
      </c>
      <c r="O147" s="190">
        <f t="shared" si="64"/>
        <v>259</v>
      </c>
      <c r="P147" s="190">
        <f t="shared" si="64"/>
        <v>204</v>
      </c>
      <c r="Q147" s="190">
        <f t="shared" si="64"/>
        <v>152</v>
      </c>
      <c r="R147" s="190">
        <f t="shared" si="64"/>
        <v>135</v>
      </c>
      <c r="S147" s="190">
        <f t="shared" si="64"/>
        <v>115</v>
      </c>
      <c r="T147" s="190">
        <f t="shared" si="64"/>
        <v>336.95</v>
      </c>
      <c r="U147" s="190">
        <f t="shared" si="64"/>
        <v>408.84778</v>
      </c>
      <c r="V147" s="190">
        <f t="shared" si="64"/>
        <v>474.48995000000002</v>
      </c>
      <c r="W147" s="190">
        <f t="shared" si="64"/>
        <v>517.23272999999995</v>
      </c>
      <c r="X147" s="190">
        <f t="shared" si="64"/>
        <v>547.69001000000003</v>
      </c>
      <c r="Y147" s="190">
        <f t="shared" si="64"/>
        <v>568.34958000000006</v>
      </c>
      <c r="Z147" s="190">
        <f t="shared" si="64"/>
        <v>605.73602000000005</v>
      </c>
      <c r="AA147" s="190">
        <f t="shared" si="64"/>
        <v>637.39652000000001</v>
      </c>
      <c r="AB147" s="190">
        <f t="shared" si="64"/>
        <v>657.51218999999992</v>
      </c>
      <c r="AC147" s="190">
        <f t="shared" si="64"/>
        <v>698.42469000000006</v>
      </c>
      <c r="AD147" s="452">
        <f t="shared" ca="1" si="64"/>
        <v>818029</v>
      </c>
      <c r="AE147" s="273">
        <f t="shared" ca="1" si="64"/>
        <v>0</v>
      </c>
      <c r="AF147" s="47">
        <f t="shared" ca="1" si="69"/>
        <v>818.029</v>
      </c>
      <c r="AG147" s="158">
        <f t="shared" ca="1" si="67"/>
        <v>396.10625975252731</v>
      </c>
      <c r="AH147" s="180" cm="1">
        <f t="array" aca="1" ref="AH147" ca="1">(SUMPRODUCT(E147:AC147*$E$155:$AC$155*($E$142:$AC$142="Intra"))+SUMPRODUCT(E147:AC147*$E$156:$AC$156*AZ111:BX111*($E$142:$AC$142="Intra")))/(SUMPRODUCT($E$155:$AC$155*(E111:AC111&lt;&gt;0)*($E$142:$AC$142="Intra"))+SUMPRODUCT($E$156:$AC$156*AZ111:BX111*(E111:AC111&lt;&gt;0)*($E$142:$AC$142="Intra")))</f>
        <v>365.99505501099577</v>
      </c>
      <c r="AI147" s="180" cm="1">
        <f t="array" aca="1" ref="AI147" ca="1">(SUMPRODUCT(E147:AC147*$E$155:$AC$155*($E$142:$AC$142="Cross"))+SUMPRODUCT(E147:AC147*$E$156:$AC$156*AZ111:BX111*($E$142:$AC$142="Cross")))/(SUMPRODUCT($E$155:$AC$155*(E147:AC147&lt;&gt;0)*($E$142:$AC$142="Cross"))+SUMPRODUCT($E$156:$AC$156*AZ111:BX111*(E111:AC111&lt;&gt;0)*($E$142:$AC$142="Cross")))</f>
        <v>429.8486484325137</v>
      </c>
      <c r="AJ147" s="323">
        <f ca="1">AF147-AK147</f>
        <v>309.09770035572814</v>
      </c>
      <c r="AK147" s="323">
        <f ca="1">AF147/SUM($AF$145:$AF$154)*SUMIFS($E$157:$AC$157,$E$142:$AC$142,"Cross")</f>
        <v>508.93129964427186</v>
      </c>
      <c r="AL147" s="323">
        <f t="shared" ca="1" si="71"/>
        <v>113128.22984546701</v>
      </c>
      <c r="AM147" s="323">
        <f t="shared" ca="1" si="71"/>
        <v>218763.4312970929</v>
      </c>
      <c r="AO147" s="66">
        <f t="shared" ca="1" si="68"/>
        <v>2.7736328397447489</v>
      </c>
      <c r="AP147" s="4">
        <f t="shared" ref="AP147:AP154" ca="1" si="72">SUMIFS($J$53:$J$98,$F$53:$F$98,D147,$D$53:$D$98,$B147,$E$53:$E$98,"FZK")</f>
        <v>2.7736328397447485</v>
      </c>
      <c r="AQ147" s="4">
        <f t="shared" ref="AQ147:AQ154" ca="1" si="73">SUMIFS($J$53:$J$98,$F$53:$F$98,D147,$D$53:$D$98,$B147,$E$53:$E$98,"DZK")</f>
        <v>2.4962695557702737</v>
      </c>
    </row>
    <row r="148" spans="2:43" ht="15.75" thickBot="1">
      <c r="B148" s="188" t="str">
        <f t="shared" si="65"/>
        <v>Entry</v>
      </c>
      <c r="D148" s="188" t="str">
        <f t="shared" si="66"/>
        <v>Mosonmagyarovar</v>
      </c>
      <c r="E148" s="190">
        <f t="shared" si="66"/>
        <v>49</v>
      </c>
      <c r="F148" s="190">
        <f t="shared" si="64"/>
        <v>288</v>
      </c>
      <c r="G148" s="190">
        <f t="shared" si="64"/>
        <v>383</v>
      </c>
      <c r="H148" s="190">
        <f t="shared" si="64"/>
        <v>0</v>
      </c>
      <c r="I148" s="190">
        <f t="shared" si="64"/>
        <v>10</v>
      </c>
      <c r="J148" s="190">
        <f t="shared" si="64"/>
        <v>284</v>
      </c>
      <c r="K148" s="190">
        <f t="shared" si="64"/>
        <v>427.59447</v>
      </c>
      <c r="L148" s="190">
        <f t="shared" si="64"/>
        <v>380</v>
      </c>
      <c r="M148" s="190">
        <f t="shared" si="64"/>
        <v>48</v>
      </c>
      <c r="N148" s="190">
        <f t="shared" si="64"/>
        <v>70</v>
      </c>
      <c r="O148" s="190">
        <f t="shared" si="64"/>
        <v>124</v>
      </c>
      <c r="P148" s="190">
        <f t="shared" si="64"/>
        <v>179</v>
      </c>
      <c r="Q148" s="190">
        <f t="shared" si="64"/>
        <v>231</v>
      </c>
      <c r="R148" s="190">
        <f t="shared" si="64"/>
        <v>248</v>
      </c>
      <c r="S148" s="190">
        <f t="shared" si="64"/>
        <v>268</v>
      </c>
      <c r="T148" s="190">
        <f t="shared" si="64"/>
        <v>46.05</v>
      </c>
      <c r="U148" s="190">
        <f t="shared" si="64"/>
        <v>117.84778</v>
      </c>
      <c r="V148" s="190">
        <f t="shared" si="64"/>
        <v>183.48994999999999</v>
      </c>
      <c r="W148" s="190">
        <f t="shared" si="64"/>
        <v>226.23273</v>
      </c>
      <c r="X148" s="190">
        <f t="shared" si="64"/>
        <v>256.69001000000003</v>
      </c>
      <c r="Y148" s="190">
        <f t="shared" si="64"/>
        <v>277.34958</v>
      </c>
      <c r="Z148" s="190">
        <f t="shared" si="64"/>
        <v>314.73602</v>
      </c>
      <c r="AA148" s="190">
        <f t="shared" si="64"/>
        <v>346.39652000000001</v>
      </c>
      <c r="AB148" s="190">
        <f t="shared" si="64"/>
        <v>366.51218999999998</v>
      </c>
      <c r="AC148" s="190">
        <f t="shared" si="64"/>
        <v>407.42469</v>
      </c>
      <c r="AD148" s="452">
        <f t="shared" ca="1" si="64"/>
        <v>0</v>
      </c>
      <c r="AE148" s="273">
        <f t="shared" si="64"/>
        <v>0</v>
      </c>
      <c r="AF148" s="47">
        <f t="shared" ca="1" si="69"/>
        <v>0</v>
      </c>
      <c r="AG148" s="158">
        <f t="shared" ca="1" si="67"/>
        <v>142.30832008681622</v>
      </c>
      <c r="AH148" s="180" cm="1">
        <f t="array" aca="1" ref="AH148" ca="1">(SUMPRODUCT(E148:AC148*$E$155:$AC$155*($E$142:$AC$142="Intra"))+SUMPRODUCT(E148:AC148*$E$156:$AC$156*AZ112:BX112*($E$142:$AC$142="Intra")))/(SUMPRODUCT($E$155:$AC$155*(E112:AC112&lt;&gt;0)*($E$142:$AC$142="Intra"))+SUMPRODUCT($E$156:$AC$156*AZ112:BX112*(E112:AC112&lt;&gt;0)*($E$142:$AC$142="Intra")))</f>
        <v>75.079206759304896</v>
      </c>
      <c r="AI148" s="180" cm="1">
        <f t="array" aca="1" ref="AI148" ca="1">(SUMPRODUCT(E148:AC148*$E$155:$AC$155*($E$142:$AC$142="Cross"))+SUMPRODUCT(E148:AC148*$E$156:$AC$156*AZ112:BX112*($E$142:$AC$142="Cross")))/(SUMPRODUCT($E$155:$AC$155*(E148:AC148&lt;&gt;0)*($E$142:$AC$142="Cross"))+SUMPRODUCT($E$156:$AC$156*AZ112:BX112*(E112:AC112&lt;&gt;0)*($E$142:$AC$142="Cross")))</f>
        <v>229.94925045671471</v>
      </c>
      <c r="AJ148" s="323">
        <f t="shared" ref="AJ148:AJ152" ca="1" si="74">AF148-AK148</f>
        <v>0</v>
      </c>
      <c r="AK148" s="323">
        <f t="shared" ref="AK148:AK149" ca="1" si="75">AF148/SUM($AF$145:$AF$154)*SUMIFS($E$157:$AC$157,$E$142:$AC$142,"Cross")</f>
        <v>0</v>
      </c>
      <c r="AL148" s="323">
        <f t="shared" ca="1" si="71"/>
        <v>0</v>
      </c>
      <c r="AM148" s="323">
        <f t="shared" ca="1" si="71"/>
        <v>0</v>
      </c>
      <c r="AO148" s="66">
        <f t="shared" ca="1" si="68"/>
        <v>0</v>
      </c>
      <c r="AP148" s="4">
        <f t="shared" ca="1" si="72"/>
        <v>2.7736328397447485</v>
      </c>
      <c r="AQ148" s="4">
        <f t="shared" si="73"/>
        <v>0</v>
      </c>
    </row>
    <row r="149" spans="2:43" ht="15.75" thickBot="1">
      <c r="B149" s="188" t="str">
        <f t="shared" si="65"/>
        <v>Entry</v>
      </c>
      <c r="D149" s="188" t="str">
        <f t="shared" si="66"/>
        <v>Petrzalka</v>
      </c>
      <c r="E149" s="190">
        <f t="shared" si="66"/>
        <v>39</v>
      </c>
      <c r="F149" s="190">
        <f t="shared" si="64"/>
        <v>278</v>
      </c>
      <c r="G149" s="190">
        <f t="shared" si="64"/>
        <v>373</v>
      </c>
      <c r="H149" s="190">
        <f t="shared" si="64"/>
        <v>10</v>
      </c>
      <c r="I149" s="190">
        <f t="shared" si="64"/>
        <v>0</v>
      </c>
      <c r="J149" s="190">
        <f t="shared" si="64"/>
        <v>274</v>
      </c>
      <c r="K149" s="190">
        <f t="shared" si="64"/>
        <v>417.59447</v>
      </c>
      <c r="L149" s="190">
        <f t="shared" si="64"/>
        <v>370</v>
      </c>
      <c r="M149" s="190">
        <f t="shared" si="64"/>
        <v>38</v>
      </c>
      <c r="N149" s="190">
        <f t="shared" si="64"/>
        <v>60</v>
      </c>
      <c r="O149" s="190">
        <f t="shared" si="64"/>
        <v>114</v>
      </c>
      <c r="P149" s="190">
        <f t="shared" si="64"/>
        <v>169</v>
      </c>
      <c r="Q149" s="190">
        <f t="shared" si="64"/>
        <v>221</v>
      </c>
      <c r="R149" s="190">
        <f t="shared" si="64"/>
        <v>238</v>
      </c>
      <c r="S149" s="190">
        <f t="shared" si="64"/>
        <v>258</v>
      </c>
      <c r="T149" s="190">
        <f t="shared" si="64"/>
        <v>36.049999999999997</v>
      </c>
      <c r="U149" s="190">
        <f t="shared" si="64"/>
        <v>107.84778</v>
      </c>
      <c r="V149" s="190">
        <f t="shared" si="64"/>
        <v>173.48994999999999</v>
      </c>
      <c r="W149" s="190">
        <f t="shared" si="64"/>
        <v>216.23273</v>
      </c>
      <c r="X149" s="190">
        <f t="shared" si="64"/>
        <v>246.69001</v>
      </c>
      <c r="Y149" s="190">
        <f t="shared" si="64"/>
        <v>267.34958</v>
      </c>
      <c r="Z149" s="190">
        <f t="shared" si="64"/>
        <v>304.73602</v>
      </c>
      <c r="AA149" s="190">
        <f t="shared" si="64"/>
        <v>336.39652000000001</v>
      </c>
      <c r="AB149" s="190">
        <f t="shared" si="64"/>
        <v>356.51218999999998</v>
      </c>
      <c r="AC149" s="190">
        <f t="shared" si="64"/>
        <v>397.42469</v>
      </c>
      <c r="AD149" s="452">
        <f t="shared" ca="1" si="64"/>
        <v>0</v>
      </c>
      <c r="AE149" s="273">
        <f t="shared" si="64"/>
        <v>0</v>
      </c>
      <c r="AF149" s="47">
        <f t="shared" ca="1" si="69"/>
        <v>0</v>
      </c>
      <c r="AG149" s="158">
        <f t="shared" ca="1" si="67"/>
        <v>124.21073434330486</v>
      </c>
      <c r="AH149" s="180" cm="1">
        <f t="array" aca="1" ref="AH149" ca="1">(SUMPRODUCT(E149:AC149*$E$155:$AC$155*($E$142:$AC$142="Intra"))+SUMPRODUCT(E149:AC149*$E$156:$AC$156*AZ113:BX113*($E$142:$AC$142="Intra")))/(SUMPRODUCT($E$155:$AC$155*(E113:AC113&lt;&gt;0)*($E$142:$AC$142="Intra"))+SUMPRODUCT($E$156:$AC$156*AZ113:BX113*(E113:AC113&lt;&gt;0)*($E$142:$AC$142="Intra")))</f>
        <v>65.079206759304896</v>
      </c>
      <c r="AI149" s="180" cm="1">
        <f t="array" aca="1" ref="AI149" ca="1">(SUMPRODUCT(E149:AC149*$E$155:$AC$155*($E$142:$AC$142="Cross"))+SUMPRODUCT(E149:AC149*$E$156:$AC$156*AZ113:BX113*($E$142:$AC$142="Cross")))/(SUMPRODUCT($E$155:$AC$155*(E149:AC149&lt;&gt;0)*($E$142:$AC$142="Cross"))+SUMPRODUCT($E$156:$AC$156*AZ113:BX113*(E113:AC113&lt;&gt;0)*($E$142:$AC$142="Cross")))</f>
        <v>190.47307768384491</v>
      </c>
      <c r="AJ149" s="323">
        <f t="shared" ca="1" si="74"/>
        <v>0</v>
      </c>
      <c r="AK149" s="323">
        <f t="shared" ca="1" si="75"/>
        <v>0</v>
      </c>
      <c r="AL149" s="323">
        <f t="shared" ca="1" si="71"/>
        <v>0</v>
      </c>
      <c r="AM149" s="323">
        <f t="shared" ca="1" si="71"/>
        <v>0</v>
      </c>
      <c r="AO149" s="66">
        <f t="shared" ca="1" si="68"/>
        <v>0</v>
      </c>
      <c r="AP149" s="4">
        <f t="shared" ca="1" si="72"/>
        <v>2.7736328397447485</v>
      </c>
      <c r="AQ149" s="4">
        <f t="shared" si="73"/>
        <v>0</v>
      </c>
    </row>
    <row r="150" spans="2:43" ht="15.75" thickBot="1">
      <c r="B150" s="188" t="str">
        <f t="shared" si="65"/>
        <v>Entry</v>
      </c>
      <c r="D150" s="188" t="str">
        <f t="shared" si="66"/>
        <v>Murfeld</v>
      </c>
      <c r="E150" s="190">
        <f t="shared" si="66"/>
        <v>241</v>
      </c>
      <c r="F150" s="190">
        <f t="shared" si="66"/>
        <v>480</v>
      </c>
      <c r="G150" s="190">
        <f t="shared" si="66"/>
        <v>575</v>
      </c>
      <c r="H150" s="190">
        <f t="shared" si="66"/>
        <v>284</v>
      </c>
      <c r="I150" s="190">
        <f t="shared" si="66"/>
        <v>274</v>
      </c>
      <c r="J150" s="190">
        <f t="shared" si="66"/>
        <v>0</v>
      </c>
      <c r="K150" s="190">
        <f t="shared" si="66"/>
        <v>143.59447</v>
      </c>
      <c r="L150" s="190">
        <f t="shared" si="66"/>
        <v>572</v>
      </c>
      <c r="M150" s="190">
        <f t="shared" si="66"/>
        <v>240</v>
      </c>
      <c r="N150" s="190">
        <f t="shared" si="66"/>
        <v>262</v>
      </c>
      <c r="O150" s="190">
        <f t="shared" si="66"/>
        <v>316</v>
      </c>
      <c r="P150" s="190">
        <f t="shared" si="66"/>
        <v>371</v>
      </c>
      <c r="Q150" s="190">
        <f t="shared" si="66"/>
        <v>423</v>
      </c>
      <c r="R150" s="190">
        <f t="shared" si="66"/>
        <v>440</v>
      </c>
      <c r="S150" s="190">
        <f t="shared" si="66"/>
        <v>460</v>
      </c>
      <c r="T150" s="190">
        <f t="shared" si="64"/>
        <v>238.05</v>
      </c>
      <c r="U150" s="190">
        <f t="shared" si="64"/>
        <v>166.15222</v>
      </c>
      <c r="V150" s="190">
        <f t="shared" si="64"/>
        <v>100.51005000000001</v>
      </c>
      <c r="W150" s="190">
        <f t="shared" si="64"/>
        <v>57.767269999999996</v>
      </c>
      <c r="X150" s="190">
        <f t="shared" si="64"/>
        <v>27.309989999999999</v>
      </c>
      <c r="Y150" s="190">
        <f t="shared" si="64"/>
        <v>47.969560000000001</v>
      </c>
      <c r="Z150" s="190">
        <f t="shared" si="64"/>
        <v>85.355999999999995</v>
      </c>
      <c r="AA150" s="190">
        <f t="shared" si="64"/>
        <v>117.01650000000001</v>
      </c>
      <c r="AB150" s="190">
        <f t="shared" si="64"/>
        <v>137.13216999999992</v>
      </c>
      <c r="AC150" s="190">
        <f t="shared" si="64"/>
        <v>178.04467000000005</v>
      </c>
      <c r="AD150" s="452">
        <f t="shared" ca="1" si="64"/>
        <v>0</v>
      </c>
      <c r="AE150" s="273">
        <f t="shared" si="64"/>
        <v>0</v>
      </c>
      <c r="AF150" s="47">
        <f t="shared" ca="1" si="69"/>
        <v>0</v>
      </c>
      <c r="AG150" s="158">
        <f t="shared" ca="1" si="67"/>
        <v>232.42888240160514</v>
      </c>
      <c r="AH150" s="180" cm="1">
        <f t="array" aca="1" ref="AH150" ca="1">(SUMPRODUCT(E150:AC150*$E$155:$AC$155*($E$142:$AC$142="Intra"))+SUMPRODUCT(E150:AC150*$E$156:$AC$156*AZ114:BX114*($E$142:$AC$142="Intra")))/(SUMPRODUCT($E$155:$AC$155*(E114:AC114&lt;&gt;0)*($E$142:$AC$142="Intra"))+SUMPRODUCT($E$156:$AC$156*AZ114:BX114*(E114:AC114&lt;&gt;0)*($E$142:$AC$142="Intra")))</f>
        <v>213.91063108073556</v>
      </c>
      <c r="AI150" s="180" cm="1">
        <f t="array" aca="1" ref="AI150" ca="1">(SUMPRODUCT(E150:AC150*$E$155:$AC$155*($E$142:$AC$142="Cross"))+SUMPRODUCT(E150:AC150*$E$156:$AC$156*AZ114:BX114*($E$142:$AC$142="Cross")))/(SUMPRODUCT($E$155:$AC$155*(E150:AC150&lt;&gt;0)*($E$142:$AC$142="Cross"))+SUMPRODUCT($E$156:$AC$156*AZ114:BX114*(E114:AC114&lt;&gt;0)*($E$142:$AC$142="Cross")))</f>
        <v>254.00944302762213</v>
      </c>
      <c r="AJ150" s="323">
        <f t="shared" ca="1" si="74"/>
        <v>0</v>
      </c>
      <c r="AK150" s="323">
        <f ca="1">AF150/SUM($AF$145:$AF$154)*SUMIFS($E$157:$AC$157,$E$142:$AC$142,"Cross")</f>
        <v>0</v>
      </c>
      <c r="AL150" s="323">
        <f t="shared" ca="1" si="71"/>
        <v>0</v>
      </c>
      <c r="AM150" s="323">
        <f t="shared" ca="1" si="71"/>
        <v>0</v>
      </c>
      <c r="AO150" s="66">
        <f t="shared" ca="1" si="68"/>
        <v>0</v>
      </c>
      <c r="AP150" s="4">
        <f t="shared" ca="1" si="72"/>
        <v>2.7736328397447485</v>
      </c>
      <c r="AQ150" s="4">
        <f t="shared" si="73"/>
        <v>0</v>
      </c>
    </row>
    <row r="151" spans="2:43" ht="15.75" thickBot="1">
      <c r="B151" s="188" t="str">
        <f t="shared" si="65"/>
        <v>Entry</v>
      </c>
      <c r="D151" s="188" t="str">
        <f t="shared" si="66"/>
        <v>Arnoldstein</v>
      </c>
      <c r="E151" s="190">
        <f t="shared" si="66"/>
        <v>384.59447</v>
      </c>
      <c r="F151" s="190">
        <f t="shared" si="66"/>
        <v>623.59447</v>
      </c>
      <c r="G151" s="190">
        <f t="shared" si="66"/>
        <v>718.59447</v>
      </c>
      <c r="H151" s="190">
        <f t="shared" si="66"/>
        <v>427.59447</v>
      </c>
      <c r="I151" s="190">
        <f t="shared" si="66"/>
        <v>417.59447</v>
      </c>
      <c r="J151" s="190">
        <f t="shared" si="66"/>
        <v>143.59447</v>
      </c>
      <c r="K151" s="190">
        <f t="shared" si="66"/>
        <v>0</v>
      </c>
      <c r="L151" s="190">
        <f t="shared" si="66"/>
        <v>715.59447</v>
      </c>
      <c r="M151" s="190">
        <f t="shared" si="66"/>
        <v>383.59447</v>
      </c>
      <c r="N151" s="190">
        <f t="shared" si="66"/>
        <v>405.59447</v>
      </c>
      <c r="O151" s="190">
        <f t="shared" si="66"/>
        <v>459.59447</v>
      </c>
      <c r="P151" s="190">
        <f t="shared" si="66"/>
        <v>514.59447</v>
      </c>
      <c r="Q151" s="190">
        <f t="shared" si="66"/>
        <v>566.59447</v>
      </c>
      <c r="R151" s="190">
        <f t="shared" si="66"/>
        <v>583.59447</v>
      </c>
      <c r="S151" s="190">
        <f t="shared" si="66"/>
        <v>603.59447</v>
      </c>
      <c r="T151" s="190">
        <f t="shared" si="64"/>
        <v>381.64447000000001</v>
      </c>
      <c r="U151" s="190">
        <f t="shared" si="64"/>
        <v>309.74669</v>
      </c>
      <c r="V151" s="190">
        <f t="shared" si="64"/>
        <v>244.10452000000001</v>
      </c>
      <c r="W151" s="190">
        <f t="shared" si="64"/>
        <v>201.36174</v>
      </c>
      <c r="X151" s="190">
        <f t="shared" si="64"/>
        <v>170.90446</v>
      </c>
      <c r="Y151" s="190">
        <f t="shared" si="64"/>
        <v>150.24489</v>
      </c>
      <c r="Z151" s="190">
        <f t="shared" si="64"/>
        <v>112.85845</v>
      </c>
      <c r="AA151" s="190">
        <f t="shared" si="64"/>
        <v>81.197949999999992</v>
      </c>
      <c r="AB151" s="190">
        <f t="shared" si="64"/>
        <v>61.082280000000026</v>
      </c>
      <c r="AC151" s="190">
        <f t="shared" si="64"/>
        <v>20.169780000000003</v>
      </c>
      <c r="AD151" s="452">
        <f t="shared" ca="1" si="64"/>
        <v>6234139</v>
      </c>
      <c r="AE151" s="273">
        <f t="shared" ca="1" si="64"/>
        <v>521331</v>
      </c>
      <c r="AF151" s="47">
        <f t="shared" ca="1" si="69"/>
        <v>6755.47</v>
      </c>
      <c r="AG151" s="158">
        <f t="shared" ca="1" si="67"/>
        <v>382.43403479247212</v>
      </c>
      <c r="AH151" s="180" cm="1">
        <f t="array" aca="1" ref="AH151" ca="1">(SUMPRODUCT(E151:AC151*$E$155:$AC$155*($E$142:$AC$142="Intra"))+SUMPRODUCT(E151:AC151*$E$156:$AC$156*AZ115:BX115*($E$142:$AC$142="Intra")))/(SUMPRODUCT($E$155:$AC$155*(E115:AC115&lt;&gt;0)*($E$142:$AC$142="Intra"))+SUMPRODUCT($E$156:$AC$156*AZ115:BX115*(E115:AC115&lt;&gt;0)*($E$142:$AC$142="Intra")))</f>
        <v>352.5994149890044</v>
      </c>
      <c r="AI151" s="180" cm="1">
        <f t="array" aca="1" ref="AI151" ca="1">(SUMPRODUCT(E151:AC151*$E$155:$AC$155*($E$142:$AC$142="Cross"))+SUMPRODUCT(E151:AC151*$E$156:$AC$156*AZ115:BX115*($E$142:$AC$142="Cross")))/(SUMPRODUCT($E$155:$AC$155*(E151:AC151&lt;&gt;0)*($E$142:$AC$142="Cross"))+SUMPRODUCT($E$156:$AC$156*AZ115:BX115*(E115:AC115&lt;&gt;0)*($E$142:$AC$142="Cross")))</f>
        <v>429.80274538876444</v>
      </c>
      <c r="AJ151" s="323">
        <f t="shared" ca="1" si="74"/>
        <v>2552.5992866048891</v>
      </c>
      <c r="AK151" s="323">
        <f ca="1">AF151/SUM($AF$145:$AF$154)*SUMIFS($E$157:$AC$157,$E$142:$AC$142,"Cross")</f>
        <v>4202.8707133951111</v>
      </c>
      <c r="AL151" s="323">
        <f t="shared" ca="1" si="71"/>
        <v>900045.01515823393</v>
      </c>
      <c r="AM151" s="323">
        <f ca="1">AI151*AK151</f>
        <v>1806405.3711312537</v>
      </c>
      <c r="AO151" s="66">
        <f t="shared" ca="1" si="68"/>
        <v>2.7522282478810149</v>
      </c>
      <c r="AP151" s="4">
        <f t="shared" ca="1" si="72"/>
        <v>2.7736328397447485</v>
      </c>
      <c r="AQ151" s="4">
        <f t="shared" ca="1" si="73"/>
        <v>2.4962695557702737</v>
      </c>
    </row>
    <row r="152" spans="2:43" ht="15.75" thickBot="1">
      <c r="B152" s="188" t="str">
        <f t="shared" si="65"/>
        <v>Entry</v>
      </c>
      <c r="D152" s="188" t="str">
        <f t="shared" si="66"/>
        <v>Storage 7-fields</v>
      </c>
      <c r="E152" s="190">
        <f t="shared" si="66"/>
        <v>337</v>
      </c>
      <c r="F152" s="190">
        <f t="shared" si="66"/>
        <v>92</v>
      </c>
      <c r="G152" s="190">
        <f t="shared" si="66"/>
        <v>3</v>
      </c>
      <c r="H152" s="190">
        <f t="shared" si="66"/>
        <v>380</v>
      </c>
      <c r="I152" s="190">
        <f t="shared" si="66"/>
        <v>370</v>
      </c>
      <c r="J152" s="190">
        <f t="shared" si="66"/>
        <v>572</v>
      </c>
      <c r="K152" s="190">
        <f t="shared" si="66"/>
        <v>715.59447</v>
      </c>
      <c r="L152" s="190">
        <f t="shared" si="66"/>
        <v>0</v>
      </c>
      <c r="M152" s="190">
        <f t="shared" si="66"/>
        <v>336</v>
      </c>
      <c r="N152" s="190">
        <f t="shared" si="66"/>
        <v>310</v>
      </c>
      <c r="O152" s="190">
        <f t="shared" si="66"/>
        <v>412</v>
      </c>
      <c r="P152" s="190">
        <f t="shared" si="66"/>
        <v>467</v>
      </c>
      <c r="Q152" s="190">
        <f t="shared" si="66"/>
        <v>519</v>
      </c>
      <c r="R152" s="190">
        <f t="shared" si="66"/>
        <v>536</v>
      </c>
      <c r="S152" s="190">
        <f t="shared" si="66"/>
        <v>556</v>
      </c>
      <c r="T152" s="190">
        <f t="shared" si="64"/>
        <v>334.05</v>
      </c>
      <c r="U152" s="190">
        <f t="shared" si="64"/>
        <v>405.84778</v>
      </c>
      <c r="V152" s="190">
        <f t="shared" si="64"/>
        <v>471.48995000000002</v>
      </c>
      <c r="W152" s="190">
        <f t="shared" si="64"/>
        <v>514.23272999999995</v>
      </c>
      <c r="X152" s="190">
        <f t="shared" si="64"/>
        <v>544.69001000000003</v>
      </c>
      <c r="Y152" s="190">
        <f t="shared" si="64"/>
        <v>565.34958000000006</v>
      </c>
      <c r="Z152" s="190">
        <f t="shared" si="64"/>
        <v>602.73602000000005</v>
      </c>
      <c r="AA152" s="190">
        <f t="shared" si="64"/>
        <v>634.39652000000001</v>
      </c>
      <c r="AB152" s="190">
        <f t="shared" si="64"/>
        <v>654.51218999999992</v>
      </c>
      <c r="AC152" s="190">
        <f t="shared" si="64"/>
        <v>695.42469000000006</v>
      </c>
      <c r="AD152" s="452">
        <f t="shared" ca="1" si="64"/>
        <v>0</v>
      </c>
      <c r="AE152" s="273">
        <f t="shared" si="64"/>
        <v>0</v>
      </c>
      <c r="AF152" s="47">
        <f t="shared" ca="1" si="69"/>
        <v>0</v>
      </c>
      <c r="AG152" s="158">
        <f t="shared" ca="1" si="67"/>
        <v>393.15072836967789</v>
      </c>
      <c r="AH152" s="180" cm="1">
        <f t="array" aca="1" ref="AH152" ca="1">(SUMPRODUCT(E152:AC152*$E$155:$AC$155*($E$142:$AC$142="Intra"))+SUMPRODUCT(E152:AC152*$E$156:$AC$156*AZ116:BX116*($E$142:$AC$142="Intra")))/(SUMPRODUCT($E$155:$AC$155*(E116:AC116&lt;&gt;0)*($E$142:$AC$142="Intra"))+SUMPRODUCT($E$156:$AC$156*AZ116:BX116*(E116:AC116&lt;&gt;0)*($E$142:$AC$142="Intra")))</f>
        <v>363.07920675930501</v>
      </c>
      <c r="AI152" s="180" cm="1">
        <f t="array" aca="1" ref="AI152" ca="1">(SUMPRODUCT(E152:AC152*$E$155:$AC$155*($E$142:$AC$142="Cross"))+SUMPRODUCT(E152:AC152*$E$156:$AC$156*AZ116:BX116*($E$142:$AC$142="Cross")))/(SUMPRODUCT($E$155:$AC$155*(E152:AC152&lt;&gt;0)*($E$142:$AC$142="Cross"))+SUMPRODUCT($E$156:$AC$156*AZ116:BX116*(E116:AC116&lt;&gt;0)*($E$142:$AC$142="Cross")))</f>
        <v>426.8486484325137</v>
      </c>
      <c r="AJ152" s="323">
        <f t="shared" ca="1" si="74"/>
        <v>0</v>
      </c>
      <c r="AK152" s="323">
        <f ca="1">AF152/SUM($AF$145:$AF$154)*SUMIFS($E$157:$AC$157,$E$142:$AC$142,"Cross")</f>
        <v>0</v>
      </c>
      <c r="AL152" s="323">
        <f t="shared" ca="1" si="71"/>
        <v>0</v>
      </c>
      <c r="AM152" s="323">
        <f t="shared" ca="1" si="71"/>
        <v>0</v>
      </c>
      <c r="AO152" s="66">
        <f t="shared" ca="1" si="68"/>
        <v>0</v>
      </c>
      <c r="AP152" s="4">
        <f t="shared" ca="1" si="72"/>
        <v>0</v>
      </c>
      <c r="AQ152" s="4">
        <f t="shared" si="73"/>
        <v>0</v>
      </c>
    </row>
    <row r="153" spans="2:43" ht="15.75" thickBot="1">
      <c r="B153" s="188" t="str">
        <f t="shared" si="65"/>
        <v>Entry</v>
      </c>
      <c r="D153" s="188" t="str">
        <f t="shared" si="66"/>
        <v>Storage MAB</v>
      </c>
      <c r="E153" s="190">
        <f t="shared" si="66"/>
        <v>5</v>
      </c>
      <c r="F153" s="190">
        <f t="shared" si="66"/>
        <v>244</v>
      </c>
      <c r="G153" s="190">
        <f t="shared" si="66"/>
        <v>339</v>
      </c>
      <c r="H153" s="190">
        <f t="shared" si="66"/>
        <v>48</v>
      </c>
      <c r="I153" s="190">
        <f t="shared" si="66"/>
        <v>38</v>
      </c>
      <c r="J153" s="190">
        <f t="shared" si="66"/>
        <v>240</v>
      </c>
      <c r="K153" s="190">
        <f t="shared" si="66"/>
        <v>383.59447</v>
      </c>
      <c r="L153" s="190">
        <f t="shared" si="66"/>
        <v>336</v>
      </c>
      <c r="M153" s="190">
        <f t="shared" si="66"/>
        <v>0</v>
      </c>
      <c r="N153" s="190">
        <f t="shared" si="66"/>
        <v>26</v>
      </c>
      <c r="O153" s="190">
        <f t="shared" si="66"/>
        <v>80</v>
      </c>
      <c r="P153" s="190">
        <f t="shared" si="66"/>
        <v>135</v>
      </c>
      <c r="Q153" s="190">
        <f t="shared" si="66"/>
        <v>187</v>
      </c>
      <c r="R153" s="190">
        <f t="shared" si="66"/>
        <v>204</v>
      </c>
      <c r="S153" s="190">
        <f t="shared" si="66"/>
        <v>224</v>
      </c>
      <c r="T153" s="190">
        <f t="shared" si="64"/>
        <v>2.0499999999999998</v>
      </c>
      <c r="U153" s="190">
        <f t="shared" si="64"/>
        <v>73.84778</v>
      </c>
      <c r="V153" s="190">
        <f t="shared" si="64"/>
        <v>139.48994999999999</v>
      </c>
      <c r="W153" s="190">
        <f t="shared" si="64"/>
        <v>182.23273</v>
      </c>
      <c r="X153" s="190">
        <f t="shared" si="64"/>
        <v>212.69001</v>
      </c>
      <c r="Y153" s="190">
        <f t="shared" si="64"/>
        <v>233.34958</v>
      </c>
      <c r="Z153" s="190">
        <f t="shared" si="64"/>
        <v>270.73602</v>
      </c>
      <c r="AA153" s="190">
        <f t="shared" si="64"/>
        <v>302.39652000000001</v>
      </c>
      <c r="AB153" s="190">
        <f t="shared" si="64"/>
        <v>322.51218999999998</v>
      </c>
      <c r="AC153" s="190">
        <f t="shared" si="64"/>
        <v>363.42469</v>
      </c>
      <c r="AD153" s="452">
        <f t="shared" ca="1" si="64"/>
        <v>6629423</v>
      </c>
      <c r="AE153" s="273">
        <f t="shared" si="64"/>
        <v>0</v>
      </c>
      <c r="AF153" s="47">
        <f t="shared" ca="1" si="69"/>
        <v>6629.4229999999998</v>
      </c>
      <c r="AG153" s="158">
        <f t="shared" ca="1" si="67"/>
        <v>109.49484392216233</v>
      </c>
      <c r="AH153" s="180" cm="1">
        <f t="array" aca="1" ref="AH153" ca="1">(SUMPRODUCT(E153:AC153*$E$155:$AC$155*($E$142:$AC$142="Intra"))+SUMPRODUCT(E153:AC153*$E$156:$AC$156*AZ117:BX117*($E$142:$AC$142="Intra")))/(SUMPRODUCT($E$155:$AC$155*(E117:AC117&lt;&gt;0)*($E$142:$AC$142="Intra"))+SUMPRODUCT($E$156:$AC$156*AZ117:BX117*(E117:AC117&lt;&gt;0)*($E$142:$AC$142="Intra")))</f>
        <v>31.079206759304896</v>
      </c>
      <c r="AI153" s="180" cm="1">
        <f t="array" aca="1" ref="AI153" ca="1">(SUMPRODUCT(E153:AC153*$E$155:$AC$155*($E$142:$AC$142="Cross"))+SUMPRODUCT(E153:AC153*$E$156:$AC$156*AZ117:BX117*($E$142:$AC$142="Cross")))/(SUMPRODUCT($E$155:$AC$155*(E153:AC153&lt;&gt;0)*($E$142:$AC$142="Cross"))+SUMPRODUCT($E$156:$AC$156*AZ117:BX117*(E117:AC117&lt;&gt;0)*($E$142:$AC$142="Cross")))</f>
        <v>233.57570725997783</v>
      </c>
      <c r="AJ153" s="323">
        <f ca="1">AF153-AK153</f>
        <v>2504.9715890089128</v>
      </c>
      <c r="AK153" s="323">
        <f t="shared" ref="AK153:AK154" ca="1" si="76">AF153/SUM($AF$145:$AF$154)*SUMIFS($E$157:$AC$157,$E$142:$AC$142,"Cross")</f>
        <v>4124.451410991087</v>
      </c>
      <c r="AL153" s="323">
        <f t="shared" ca="1" si="71"/>
        <v>77852.529940992521</v>
      </c>
      <c r="AM153" s="323">
        <f t="shared" ca="1" si="71"/>
        <v>963371.6553816566</v>
      </c>
      <c r="AO153" s="66">
        <f t="shared" ca="1" si="68"/>
        <v>0</v>
      </c>
      <c r="AP153" s="4">
        <f t="shared" ca="1" si="72"/>
        <v>0</v>
      </c>
      <c r="AQ153" s="4">
        <f t="shared" si="73"/>
        <v>0</v>
      </c>
    </row>
    <row r="154" spans="2:43" ht="15.75" thickBot="1">
      <c r="B154" s="188" t="str">
        <f t="shared" si="65"/>
        <v>Entry</v>
      </c>
      <c r="D154" s="240" t="str">
        <f t="shared" si="66"/>
        <v>Verteilergebiet</v>
      </c>
      <c r="E154" s="190">
        <f>E118</f>
        <v>27</v>
      </c>
      <c r="F154" s="190">
        <f t="shared" si="66"/>
        <v>218</v>
      </c>
      <c r="G154" s="190">
        <f t="shared" si="66"/>
        <v>313</v>
      </c>
      <c r="H154" s="190">
        <f t="shared" si="66"/>
        <v>70</v>
      </c>
      <c r="I154" s="190">
        <f t="shared" si="66"/>
        <v>60</v>
      </c>
      <c r="J154" s="190">
        <f t="shared" si="66"/>
        <v>262</v>
      </c>
      <c r="K154" s="190">
        <f t="shared" si="66"/>
        <v>405.59447</v>
      </c>
      <c r="L154" s="190">
        <f t="shared" si="66"/>
        <v>310</v>
      </c>
      <c r="M154" s="190">
        <f t="shared" si="66"/>
        <v>26</v>
      </c>
      <c r="N154" s="190">
        <f>N118</f>
        <v>0</v>
      </c>
      <c r="O154" s="190">
        <f t="shared" si="66"/>
        <v>54</v>
      </c>
      <c r="P154" s="190">
        <f t="shared" si="66"/>
        <v>109</v>
      </c>
      <c r="Q154" s="190">
        <f t="shared" si="66"/>
        <v>161</v>
      </c>
      <c r="R154" s="190">
        <f t="shared" si="66"/>
        <v>178</v>
      </c>
      <c r="S154" s="190">
        <f t="shared" si="66"/>
        <v>198</v>
      </c>
      <c r="T154" s="190">
        <f t="shared" si="64"/>
        <v>24</v>
      </c>
      <c r="U154" s="190">
        <f t="shared" si="64"/>
        <v>95.84778</v>
      </c>
      <c r="V154" s="190">
        <f t="shared" si="64"/>
        <v>161.48994999999999</v>
      </c>
      <c r="W154" s="190">
        <f t="shared" si="64"/>
        <v>204.23273</v>
      </c>
      <c r="X154" s="190">
        <f t="shared" si="64"/>
        <v>234.69001</v>
      </c>
      <c r="Y154" s="190">
        <f t="shared" si="64"/>
        <v>255.34958</v>
      </c>
      <c r="Z154" s="190">
        <f t="shared" si="64"/>
        <v>292.73602</v>
      </c>
      <c r="AA154" s="190">
        <f t="shared" si="64"/>
        <v>324.39652000000001</v>
      </c>
      <c r="AB154" s="190">
        <f t="shared" si="64"/>
        <v>344.51218999999998</v>
      </c>
      <c r="AC154" s="190">
        <f t="shared" si="64"/>
        <v>385.42469</v>
      </c>
      <c r="AD154" s="453">
        <f t="shared" ca="1" si="64"/>
        <v>4028400.0000000009</v>
      </c>
      <c r="AE154" s="200">
        <f t="shared" si="64"/>
        <v>0</v>
      </c>
      <c r="AF154" s="47">
        <f t="shared" ca="1" si="69"/>
        <v>4028.400000000001</v>
      </c>
      <c r="AG154" s="158">
        <f t="shared" ca="1" si="67"/>
        <v>113.60062609897517</v>
      </c>
      <c r="AH154" s="180" cm="1">
        <f t="array" aca="1" ref="AH154" ca="1">(SUMPRODUCT(E154:AC154*$E$155:$AC$155*($E$142:$AC$142="Intra"))+SUMPRODUCT(E154:AC154*$E$156:$AC$156*AZ118:BX118*($E$142:$AC$142="Intra")))/(SUMPRODUCT($E$155:$AC$155*(E118:AC118&lt;&gt;0)*($E$142:$AC$142="Intra"))+SUMPRODUCT($E$156:$AC$156*AZ118:BX118*(E118:AC118&lt;&gt;0)*($E$142:$AC$142="Intra")))</f>
        <v>53.037130885150255</v>
      </c>
      <c r="AI154" s="180" cm="1">
        <f t="array" aca="1" ref="AI154" ca="1">(SUMPRODUCT(E154:AC154*$E$155:$AC$155*($E$142:$AC$142="Cross"))+SUMPRODUCT(E154:AC154*$E$156:$AC$156*AZ118:BX118*($E$142:$AC$142="Cross")))/(SUMPRODUCT($E$155:$AC$155*(E154:AC154&lt;&gt;0)*($E$142:$AC$142="Cross"))+SUMPRODUCT($E$156:$AC$156*AZ118:BX118*(E118:AC118&lt;&gt;0)*($E$142:$AC$142="Cross")))</f>
        <v>181.46762155348623</v>
      </c>
      <c r="AJ154" s="323">
        <f t="shared" ref="AJ154" ca="1" si="77">AF154-AK154</f>
        <v>1522.1577427120742</v>
      </c>
      <c r="AK154" s="323">
        <f t="shared" ca="1" si="76"/>
        <v>2506.2422572879268</v>
      </c>
      <c r="AL154" s="323">
        <f t="shared" ca="1" si="71"/>
        <v>80730.879428065149</v>
      </c>
      <c r="AM154" s="323">
        <f t="shared" ca="1" si="71"/>
        <v>454801.82146688056</v>
      </c>
      <c r="AO154" s="66">
        <f t="shared" ca="1" si="68"/>
        <v>0</v>
      </c>
      <c r="AP154" s="4">
        <f t="shared" ca="1" si="72"/>
        <v>0</v>
      </c>
      <c r="AQ154" s="4">
        <f t="shared" si="73"/>
        <v>0</v>
      </c>
    </row>
    <row r="155" spans="2:43">
      <c r="B155" s="188" t="str">
        <f t="shared" si="65"/>
        <v>FZK</v>
      </c>
      <c r="C155" s="3"/>
      <c r="D155" s="171" t="str">
        <f t="shared" si="66"/>
        <v>forecasted capacity (kWh/h)</v>
      </c>
      <c r="E155" s="201">
        <f ca="1">E119</f>
        <v>1975276</v>
      </c>
      <c r="F155" s="202">
        <f t="shared" ca="1" si="66"/>
        <v>3366967</v>
      </c>
      <c r="G155" s="202">
        <f t="shared" ca="1" si="66"/>
        <v>0</v>
      </c>
      <c r="H155" s="202">
        <f t="shared" ca="1" si="66"/>
        <v>3189496</v>
      </c>
      <c r="I155" s="202">
        <f t="shared" ca="1" si="66"/>
        <v>0</v>
      </c>
      <c r="J155" s="202">
        <f t="shared" ca="1" si="66"/>
        <v>872840</v>
      </c>
      <c r="K155" s="202">
        <f t="shared" ca="1" si="66"/>
        <v>6683747</v>
      </c>
      <c r="L155" s="202">
        <f t="shared" ca="1" si="66"/>
        <v>0</v>
      </c>
      <c r="M155" s="205">
        <f t="shared" ca="1" si="66"/>
        <v>6629423</v>
      </c>
      <c r="N155" s="201">
        <f ca="1">N119</f>
        <v>0</v>
      </c>
      <c r="O155" s="202">
        <f t="shared" ca="1" si="66"/>
        <v>0</v>
      </c>
      <c r="P155" s="202">
        <f t="shared" ca="1" si="66"/>
        <v>0</v>
      </c>
      <c r="Q155" s="202">
        <f t="shared" ca="1" si="66"/>
        <v>0</v>
      </c>
      <c r="R155" s="202">
        <f t="shared" ca="1" si="66"/>
        <v>0</v>
      </c>
      <c r="S155" s="202">
        <f t="shared" ca="1" si="66"/>
        <v>0</v>
      </c>
      <c r="T155" s="202">
        <f t="shared" ca="1" si="64"/>
        <v>21422795</v>
      </c>
      <c r="U155" s="202">
        <f t="shared" ca="1" si="64"/>
        <v>1111502.9999999988</v>
      </c>
      <c r="V155" s="202">
        <f t="shared" ca="1" si="64"/>
        <v>166730.99999999983</v>
      </c>
      <c r="W155" s="202">
        <f t="shared" ca="1" si="64"/>
        <v>221438.99999999977</v>
      </c>
      <c r="X155" s="202">
        <f t="shared" ca="1" si="64"/>
        <v>1952542.9999999979</v>
      </c>
      <c r="Y155" s="202">
        <f t="shared" ca="1" si="64"/>
        <v>110455.99999999988</v>
      </c>
      <c r="Z155" s="202">
        <f t="shared" ca="1" si="64"/>
        <v>55222.999999999942</v>
      </c>
      <c r="AA155" s="202">
        <f t="shared" ca="1" si="64"/>
        <v>22021.999999999978</v>
      </c>
      <c r="AB155" s="202">
        <f t="shared" ca="1" si="64"/>
        <v>110086.9999999999</v>
      </c>
      <c r="AC155" s="203">
        <f t="shared" ca="1" si="64"/>
        <v>284538.99999999971</v>
      </c>
      <c r="AD155">
        <f t="shared" si="64"/>
        <v>0</v>
      </c>
      <c r="AE155">
        <f t="shared" ref="AE155" si="78">AE119</f>
        <v>0</v>
      </c>
      <c r="AF155" s="330">
        <f ca="1">SUM(AF145:AF154)</f>
        <v>37456.985000000001</v>
      </c>
      <c r="AG155" s="155"/>
      <c r="AJ155" s="329">
        <f ca="1">SUM(AJ145:AJ154)</f>
        <v>14153.371000000005</v>
      </c>
      <c r="AK155" s="329">
        <f ca="1">SUM(AK145:AK154)</f>
        <v>23303.613999999998</v>
      </c>
    </row>
    <row r="156" spans="2:43" ht="15.75" thickBot="1">
      <c r="B156" s="188" t="str">
        <f t="shared" si="65"/>
        <v>DZK</v>
      </c>
      <c r="C156" s="3"/>
      <c r="D156" s="171" t="str">
        <f t="shared" si="66"/>
        <v>forecasted capacity (kWh/h)</v>
      </c>
      <c r="E156" s="198">
        <f>E120</f>
        <v>0</v>
      </c>
      <c r="F156" s="199">
        <f t="shared" si="66"/>
        <v>0</v>
      </c>
      <c r="G156" s="199">
        <f t="shared" ca="1" si="66"/>
        <v>585865</v>
      </c>
      <c r="H156" s="199">
        <f t="shared" si="66"/>
        <v>0</v>
      </c>
      <c r="I156" s="199">
        <f t="shared" si="66"/>
        <v>0</v>
      </c>
      <c r="J156" s="199">
        <f t="shared" si="66"/>
        <v>0</v>
      </c>
      <c r="K156" s="199">
        <f t="shared" si="66"/>
        <v>0</v>
      </c>
      <c r="L156" s="199">
        <f t="shared" si="66"/>
        <v>0</v>
      </c>
      <c r="M156" s="206">
        <f t="shared" si="66"/>
        <v>0</v>
      </c>
      <c r="N156" s="198">
        <f ca="1">N120</f>
        <v>4635629</v>
      </c>
      <c r="O156" s="199">
        <f t="shared" si="66"/>
        <v>0</v>
      </c>
      <c r="P156" s="199">
        <f t="shared" si="66"/>
        <v>0</v>
      </c>
      <c r="Q156" s="199">
        <f t="shared" si="66"/>
        <v>0</v>
      </c>
      <c r="R156" s="199">
        <f t="shared" ca="1" si="66"/>
        <v>2378663</v>
      </c>
      <c r="S156" s="199">
        <f t="shared" si="66"/>
        <v>0</v>
      </c>
      <c r="T156" s="199">
        <f t="shared" ref="T156:AE156" si="79">T120</f>
        <v>0</v>
      </c>
      <c r="U156" s="199">
        <f t="shared" si="79"/>
        <v>0</v>
      </c>
      <c r="V156" s="199">
        <f t="shared" si="79"/>
        <v>0</v>
      </c>
      <c r="W156" s="199">
        <f t="shared" si="79"/>
        <v>0</v>
      </c>
      <c r="X156" s="199">
        <f t="shared" si="79"/>
        <v>0</v>
      </c>
      <c r="Y156" s="199">
        <f t="shared" si="79"/>
        <v>0</v>
      </c>
      <c r="Z156" s="199">
        <f t="shared" si="79"/>
        <v>0</v>
      </c>
      <c r="AA156" s="199">
        <f t="shared" si="79"/>
        <v>0</v>
      </c>
      <c r="AB156" s="199">
        <f t="shared" si="79"/>
        <v>0</v>
      </c>
      <c r="AC156" s="200">
        <f t="shared" si="79"/>
        <v>0</v>
      </c>
      <c r="AD156" s="148">
        <f t="shared" si="79"/>
        <v>0</v>
      </c>
      <c r="AE156" s="233">
        <f t="shared" ca="1" si="79"/>
        <v>93232229</v>
      </c>
      <c r="AG156" s="155"/>
    </row>
    <row r="157" spans="2:43">
      <c r="C157" s="29"/>
      <c r="D157" s="321" t="s">
        <v>208</v>
      </c>
      <c r="E157" s="47">
        <f ca="1">SUM(E155:E156)/1000</f>
        <v>1975.2760000000001</v>
      </c>
      <c r="F157" s="47">
        <f t="shared" ref="F157:AC157" ca="1" si="80">SUM(F155:F156)/1000</f>
        <v>3366.9670000000001</v>
      </c>
      <c r="G157" s="47">
        <f t="shared" ca="1" si="80"/>
        <v>585.86500000000001</v>
      </c>
      <c r="H157" s="47">
        <f ca="1">SUM(H155:H156)/1000</f>
        <v>3189.4960000000001</v>
      </c>
      <c r="I157" s="47">
        <f t="shared" ca="1" si="80"/>
        <v>0</v>
      </c>
      <c r="J157" s="47">
        <f t="shared" ca="1" si="80"/>
        <v>872.84</v>
      </c>
      <c r="K157" s="47">
        <f t="shared" ca="1" si="80"/>
        <v>6683.7470000000003</v>
      </c>
      <c r="L157" s="47">
        <f t="shared" ca="1" si="80"/>
        <v>0</v>
      </c>
      <c r="M157" s="47">
        <f t="shared" ca="1" si="80"/>
        <v>6629.4229999999998</v>
      </c>
      <c r="N157" s="47">
        <f t="shared" ca="1" si="80"/>
        <v>4635.6289999999999</v>
      </c>
      <c r="O157" s="47">
        <f t="shared" ca="1" si="80"/>
        <v>0</v>
      </c>
      <c r="P157" s="47">
        <f t="shared" ca="1" si="80"/>
        <v>0</v>
      </c>
      <c r="Q157" s="47">
        <f t="shared" ca="1" si="80"/>
        <v>0</v>
      </c>
      <c r="R157" s="47">
        <f t="shared" ca="1" si="80"/>
        <v>2378.663</v>
      </c>
      <c r="S157" s="47">
        <f t="shared" ca="1" si="80"/>
        <v>0</v>
      </c>
      <c r="T157" s="47">
        <f t="shared" ca="1" si="80"/>
        <v>21422.794999999998</v>
      </c>
      <c r="U157" s="47">
        <f t="shared" ca="1" si="80"/>
        <v>1111.5029999999988</v>
      </c>
      <c r="V157" s="47">
        <f t="shared" ca="1" si="80"/>
        <v>166.73099999999982</v>
      </c>
      <c r="W157" s="47">
        <f t="shared" ca="1" si="80"/>
        <v>221.43899999999977</v>
      </c>
      <c r="X157" s="47">
        <f t="shared" ca="1" si="80"/>
        <v>1952.5429999999978</v>
      </c>
      <c r="Y157" s="47">
        <f t="shared" ca="1" si="80"/>
        <v>110.45599999999989</v>
      </c>
      <c r="Z157" s="47">
        <f t="shared" ca="1" si="80"/>
        <v>55.222999999999942</v>
      </c>
      <c r="AA157" s="47">
        <f t="shared" ca="1" si="80"/>
        <v>22.021999999999977</v>
      </c>
      <c r="AB157" s="47">
        <f t="shared" ca="1" si="80"/>
        <v>110.0869999999999</v>
      </c>
      <c r="AC157" s="47">
        <f t="shared" ca="1" si="80"/>
        <v>284.5389999999997</v>
      </c>
      <c r="AG157" s="155"/>
    </row>
    <row r="158" spans="2:43">
      <c r="C158" s="29"/>
      <c r="D158" s="321" t="s">
        <v>207</v>
      </c>
      <c r="E158" s="323" cm="1">
        <f t="array" aca="1" ref="E158" ca="1">(SUMPRODUCT(E145:E154,$AD$109:$AD$118)+SUMPRODUCT(E145:E154,$AE$109:$AE$118,AZ109:AZ118))/(SUMPRODUCT($AD$109:$AD$118*(E$145:E$154&lt;&gt;0))+SUMPRODUCT($AE$109:$AE$118*AZ109:AZ118*(E$145:E$154&lt;&gt;0)))</f>
        <v>184.93883548500474</v>
      </c>
      <c r="F158" s="323" cm="1">
        <f t="array" aca="1" ref="F158" ca="1">(SUMPRODUCT(F145:F154,$AD$109:$AD$118)+SUMPRODUCT(F145:F154,$AE$109:$AE$118,BA109:BA118))/(SUMPRODUCT($AD$109:$AD$118*(F$145:F$154&lt;&gt;0))+SUMPRODUCT($AE$109:$AE$118*BA109:BA118*(F$145:F$154&lt;&gt;0)))</f>
        <v>317.38581542168879</v>
      </c>
      <c r="G158" s="323" cm="1">
        <f t="array" aca="1" ref="G158" ca="1">(SUMPRODUCT(G145:G154,$AD$109:$AD$118)+SUMPRODUCT(G145:G154,$AE$109:$AE$118,BB109:BB118))/(SUMPRODUCT($AD$109:$AD$118*(G$145:G$154&lt;&gt;0))+SUMPRODUCT($AE$109:$AE$118*BB109:BB118*(G$145:G$154&lt;&gt;0)))</f>
        <v>350.47022257447242</v>
      </c>
      <c r="H158" s="323" cm="1">
        <f t="array" aca="1" ref="H158" ca="1">(SUMPRODUCT(H145:H154,$AD$109:$AD$118)+SUMPRODUCT(H145:H154,$AE$109:$AE$118,BC109:BC118))/(SUMPRODUCT($AD$109:$AD$118*(H$145:H$154&lt;&gt;0))+SUMPRODUCT($AE$109:$AE$118*BC109:BC118*(H$145:H$154&lt;&gt;0)))</f>
        <v>171.70907602208234</v>
      </c>
      <c r="I158" s="323" cm="1">
        <f t="array" aca="1" ref="I158" ca="1">(SUMPRODUCT(I145:I154,$AD$109:$AD$118)+SUMPRODUCT(I145:I154,$AE$109:$AE$118,BD109:BD118))/(SUMPRODUCT($AD$109:$AD$118*(I$145:I$154&lt;&gt;0))+SUMPRODUCT($AE$109:$AE$118*BD109:BD118*(I$145:I$154&lt;&gt;0)))</f>
        <v>161.70907602208234</v>
      </c>
      <c r="J158" s="323" cm="1">
        <f t="array" aca="1" ref="J158" ca="1">(SUMPRODUCT(J145:J154,$AD$109:$AD$118)+SUMPRODUCT(J145:J154,$AE$109:$AE$118,BE109:BE118))/(SUMPRODUCT($AD$109:$AD$118*(J$145:J$154&lt;&gt;0))+SUMPRODUCT($AE$109:$AE$118*BE109:BE118*(J$145:J$154&lt;&gt;0)))</f>
        <v>283.36800059398786</v>
      </c>
      <c r="K158" s="323" cm="1">
        <f t="array" aca="1" ref="K158" ca="1">(SUMPRODUCT(K145:K154,$AD$109:$AD$118)+SUMPRODUCT(K145:K154,$AE$109:$AE$118,BF109:BF118))/(SUMPRODUCT($AD$109:$AD$118*(K$145:K$154&lt;&gt;0))+SUMPRODUCT($AE$109:$AE$118*BF109:BF118*(K$145:K$154&lt;&gt;0)))</f>
        <v>455.34438002886986</v>
      </c>
      <c r="L158" s="323" cm="1">
        <f t="array" aca="1" ref="L158" ca="1">(SUMPRODUCT(L145:L154,$AD$109:$AD$118)+SUMPRODUCT(L145:L154,$AE$109:$AE$118,BG109:BG118))/(SUMPRODUCT($AD$109:$AD$118*(L$145:L$154&lt;&gt;0))+SUMPRODUCT($AE$109:$AE$118*BG109:BG118*(L$145:L$154&lt;&gt;0)))</f>
        <v>339.84110000086446</v>
      </c>
      <c r="M158" s="323" cm="1">
        <f t="array" aca="1" ref="M158" ca="1">(SUMPRODUCT(M145:M154,$AD$109:$AD$118)+SUMPRODUCT(M145:M154,$AE$109:$AE$118,BH109:BH118))/(SUMPRODUCT($AD$109:$AD$118*(M$145:M$154&lt;&gt;0))+SUMPRODUCT($AE$109:$AE$118*BH109:BH118*(M$145:M$154&lt;&gt;0)))</f>
        <v>154.77017094640803</v>
      </c>
      <c r="N158" s="323" cm="1">
        <f t="array" aca="1" ref="N158" ca="1">(SUMPRODUCT(N145:N154,$AD$109:$AD$118)+SUMPRODUCT(N145:N154,$AE$109:$AE$118,BI109:BI118))/(SUMPRODUCT($AD$109:$AD$118*(N$145:N$154&lt;&gt;0))+SUMPRODUCT($AE$109:$AE$118*BI109:BI118*(N$145:N$154&lt;&gt;0)))</f>
        <v>149.85334505915716</v>
      </c>
      <c r="O158" s="323" cm="1">
        <f t="array" aca="1" ref="O158" ca="1">(SUMPRODUCT(O145:O154,$AD$109:$AD$118)+SUMPRODUCT(O145:O154,$AE$109:$AE$118,BJ109:BJ118))/(SUMPRODUCT($AD$109:$AD$118*(O$145:O$154&lt;&gt;0))+SUMPRODUCT($AE$109:$AE$118*BJ109:BJ118*(O$145:O$154&lt;&gt;0)))</f>
        <v>162.83963404604478</v>
      </c>
      <c r="P158" s="323" cm="1">
        <f t="array" aca="1" ref="P158" ca="1">(SUMPRODUCT(P145:P154,$AD$109:$AD$118)+SUMPRODUCT(P145:P154,$AE$109:$AE$118,BK109:BK118))/(SUMPRODUCT($AD$109:$AD$118*(P$145:P$154&lt;&gt;0))+SUMPRODUCT($AE$109:$AE$118*BK109:BK118*(P$145:P$154&lt;&gt;0)))</f>
        <v>192.71288036787789</v>
      </c>
      <c r="Q158" s="323" cm="1">
        <f t="array" aca="1" ref="Q158" ca="1">(SUMPRODUCT(Q145:Q154,$AD$109:$AD$118)+SUMPRODUCT(Q145:Q154,$AE$109:$AE$118,BL109:BL118))/(SUMPRODUCT($AD$109:$AD$118*(Q$145:Q$154&lt;&gt;0))+SUMPRODUCT($AE$109:$AE$118*BL109:BL118*(Q$145:Q$154&lt;&gt;0)))</f>
        <v>220.95667689033826</v>
      </c>
      <c r="R158" s="323" cm="1">
        <f t="array" aca="1" ref="R158" ca="1">(SUMPRODUCT(R145:R154,$AD$109:$AD$118)+SUMPRODUCT(R145:R154,$AE$109:$AE$118,BM109:BM118))/(SUMPRODUCT($AD$109:$AD$118*(R$145:R$154&lt;&gt;0))+SUMPRODUCT($AE$109:$AE$118*BM109:BM118*(R$145:R$154&lt;&gt;0)))</f>
        <v>230.19022575345031</v>
      </c>
      <c r="S158" s="323" cm="1">
        <f t="array" aca="1" ref="S158" ca="1">(SUMPRODUCT(S145:S154,$AD$109:$AD$118)+SUMPRODUCT(S145:S154,$AE$109:$AE$118,BN109:BN118))/(SUMPRODUCT($AD$109:$AD$118*(S$145:S$154&lt;&gt;0))+SUMPRODUCT($AE$109:$AE$118*BN109:BN118*(S$145:S$154&lt;&gt;0)))</f>
        <v>241.05322441593506</v>
      </c>
      <c r="T158" s="323" cm="1">
        <f t="array" aca="1" ref="T158" ca="1">(SUMPRODUCT(T145:T154,$AD$109:$AD$118)+SUMPRODUCT(T145:T154,$AE$109:$AE$118,BO109:BO118))/(SUMPRODUCT($AD$109:$AD$118*(T$145:T$154&lt;&gt;0))+SUMPRODUCT($AE$109:$AE$118*BO109:BO118*(T$145:T$154&lt;&gt;0)))</f>
        <v>125.73078025128051</v>
      </c>
      <c r="U158" s="323" cm="1">
        <f t="array" aca="1" ref="U158" ca="1">(SUMPRODUCT(U145:U154,$AD$109:$AD$118)+SUMPRODUCT(U145:U154,$AE$109:$AE$118,BP109:BP118))/(SUMPRODUCT($AD$109:$AD$118*(U$145:U$154&lt;&gt;0))+SUMPRODUCT($AE$109:$AE$118*BP109:BP118*(U$145:U$154&lt;&gt;0)))</f>
        <v>173.30337739888427</v>
      </c>
      <c r="V158" s="323" cm="1">
        <f t="array" aca="1" ref="V158" ca="1">(SUMPRODUCT(V145:V154,$AD$109:$AD$118)+SUMPRODUCT(V145:V154,$AE$109:$AE$118,BQ109:BQ118))/(SUMPRODUCT($AD$109:$AD$118*(V$145:V$154&lt;&gt;0))+SUMPRODUCT($AE$109:$AE$118*BQ109:BQ118*(V$145:V$154&lt;&gt;0)))</f>
        <v>216.78688130126326</v>
      </c>
      <c r="W158" s="323" cm="1">
        <f t="array" aca="1" ref="W158" ca="1">(SUMPRODUCT(W145:W154,$AD$109:$AD$118)+SUMPRODUCT(W145:W154,$AE$109:$AE$118,BR109:BR118))/(SUMPRODUCT($AD$109:$AD$118*(W$145:W$154&lt;&gt;0))+SUMPRODUCT($AE$109:$AE$118*BR109:BR118*(W$145:W$154&lt;&gt;0)))</f>
        <v>245.101086040816</v>
      </c>
      <c r="X158" s="323" cm="1">
        <f t="array" aca="1" ref="X158" ca="1">(SUMPRODUCT(X145:X154,$AD$109:$AD$118)+SUMPRODUCT(X145:X154,$AE$109:$AE$118,BS109:BS118))/(SUMPRODUCT($AD$109:$AD$118*(X$145:X$154&lt;&gt;0))+SUMPRODUCT($AE$109:$AE$118*BS109:BS118*(X$145:X$154&lt;&gt;0)))</f>
        <v>265.27697683991443</v>
      </c>
      <c r="Y158" s="323" cm="1">
        <f t="array" aca="1" ref="Y158" ca="1">(SUMPRODUCT(Y145:Y154,$AD$109:$AD$118)+SUMPRODUCT(Y145:Y154,$AE$109:$AE$118,BT109:BT118))/(SUMPRODUCT($AD$109:$AD$118*(Y$145:Y$154&lt;&gt;0))+SUMPRODUCT($AE$109:$AE$118*BT109:BT118*(Y$145:Y$154&lt;&gt;0)))</f>
        <v>278.9625465387295</v>
      </c>
      <c r="Z158" s="323" cm="1">
        <f t="array" aca="1" ref="Z158" ca="1">(SUMPRODUCT(Z145:Z154,$AD$109:$AD$118)+SUMPRODUCT(Z145:Z154,$AE$109:$AE$118,BU109:BU118))/(SUMPRODUCT($AD$109:$AD$118*(Z$145:Z$154&lt;&gt;0))+SUMPRODUCT($AE$109:$AE$118*BU109:BU118*(Z$145:Z$154&lt;&gt;0)))</f>
        <v>301.07198407164384</v>
      </c>
      <c r="AA158" s="323" cm="1">
        <f t="array" aca="1" ref="AA158" ca="1">(SUMPRODUCT(AA145:AA154,$AD$109:$AD$118)+SUMPRODUCT(AA145:AA154,$AE$109:$AE$118,BV109:BV118))/(SUMPRODUCT($AD$109:$AD$118*(AA$145:AA$154&lt;&gt;0))+SUMPRODUCT($AE$109:$AE$118*BV109:BV118*(AA$145:AA$154&lt;&gt;0)))</f>
        <v>321.31236801398461</v>
      </c>
      <c r="AB158" s="323" cm="1">
        <f t="array" aca="1" ref="AB158" ca="1">(SUMPRODUCT(AB145:AB154,$AD$109:$AD$118)+SUMPRODUCT(AB145:AB154,$AE$109:$AE$118,BW109:BW118))/(SUMPRODUCT($AD$109:$AD$118*(AB$145:AB$154&lt;&gt;0))+SUMPRODUCT($AE$109:$AE$118*BW109:BW118*(AB$145:AB$154&lt;&gt;0)))</f>
        <v>334.17220547888331</v>
      </c>
      <c r="AC158" s="323" cm="1">
        <f t="array" aca="1" ref="AC158" ca="1">(SUMPRODUCT(AC145:AC154,$AD$109:$AD$118)+SUMPRODUCT(AC145:AC154,$AE$109:$AE$118,BX109:BX118))/(SUMPRODUCT($AD$109:$AD$118*(AC$145:AC$154&lt;&gt;0))+SUMPRODUCT($AE$109:$AE$118*BX109:BX118*(AC$145:AC$154&lt;&gt;0)))</f>
        <v>360.32734225944637</v>
      </c>
    </row>
    <row r="159" spans="2:43" ht="15.75" thickBot="1">
      <c r="C159" s="29"/>
      <c r="D159" s="321" t="s">
        <v>210</v>
      </c>
      <c r="E159" s="455">
        <f ca="1">E158*E157</f>
        <v>365305.24320147827</v>
      </c>
      <c r="F159" s="455">
        <f ca="1">F158*F157</f>
        <v>1068627.5667929172</v>
      </c>
      <c r="G159" s="455">
        <f t="shared" ref="G159:AC159" ca="1" si="81">G158*G157</f>
        <v>205328.23694859329</v>
      </c>
      <c r="H159" s="455">
        <f t="shared" ca="1" si="81"/>
        <v>547665.41113612754</v>
      </c>
      <c r="I159" s="455">
        <f t="shared" ca="1" si="81"/>
        <v>0</v>
      </c>
      <c r="J159" s="455">
        <f t="shared" ca="1" si="81"/>
        <v>247334.92563845636</v>
      </c>
      <c r="K159" s="455">
        <f t="shared" ca="1" si="81"/>
        <v>3043406.6339848191</v>
      </c>
      <c r="L159" s="455">
        <f t="shared" ca="1" si="81"/>
        <v>0</v>
      </c>
      <c r="M159" s="455">
        <f ca="1">M158*M157</f>
        <v>1026036.9309860491</v>
      </c>
      <c r="N159" s="455">
        <f t="shared" ca="1" si="81"/>
        <v>694664.5121032357</v>
      </c>
      <c r="O159" s="455">
        <f t="shared" ca="1" si="81"/>
        <v>0</v>
      </c>
      <c r="P159" s="455">
        <f t="shared" ca="1" si="81"/>
        <v>0</v>
      </c>
      <c r="Q159" s="455">
        <f t="shared" ca="1" si="81"/>
        <v>0</v>
      </c>
      <c r="R159" s="455">
        <f t="shared" ca="1" si="81"/>
        <v>547544.97296137933</v>
      </c>
      <c r="S159" s="455">
        <f t="shared" ca="1" si="81"/>
        <v>0</v>
      </c>
      <c r="T159" s="455">
        <f t="shared" ca="1" si="81"/>
        <v>2693504.7305132304</v>
      </c>
      <c r="U159" s="455">
        <f t="shared" ca="1" si="81"/>
        <v>192627.22388899184</v>
      </c>
      <c r="V159" s="455">
        <f t="shared" ca="1" si="81"/>
        <v>36145.09350624089</v>
      </c>
      <c r="W159" s="455">
        <f t="shared" ca="1" si="81"/>
        <v>54274.939391792199</v>
      </c>
      <c r="X159" s="455">
        <f t="shared" ca="1" si="81"/>
        <v>517964.70418993646</v>
      </c>
      <c r="Y159" s="455">
        <f t="shared" ca="1" si="81"/>
        <v>30813.087040481874</v>
      </c>
      <c r="Z159" s="455">
        <f t="shared" ca="1" si="81"/>
        <v>16626.098176388372</v>
      </c>
      <c r="AA159" s="455">
        <f t="shared" ca="1" si="81"/>
        <v>7075.940968403962</v>
      </c>
      <c r="AB159" s="455">
        <f t="shared" ca="1" si="81"/>
        <v>36788.015584553796</v>
      </c>
      <c r="AC159" s="455">
        <f t="shared" ca="1" si="81"/>
        <v>102527.18163916051</v>
      </c>
    </row>
    <row r="160" spans="2:43">
      <c r="C160" s="29"/>
      <c r="D160" s="454" t="s">
        <v>211</v>
      </c>
      <c r="E160" s="456">
        <f ca="1">SUMIFS($J$53:$J$98,$F$53:$F$98,E144,$D$53:$D$98,"Exit",$E$53:$E$98,"FZK")</f>
        <v>3.7360454146105768</v>
      </c>
      <c r="F160" s="457">
        <f t="shared" ref="F160:AC160" ca="1" si="82">SUMIFS($J$53:$J$98,$F$53:$F$98,F144,$D$53:$D$98,"Exit",$E$53:$E$98,"FZK")</f>
        <v>7.5586618182948762</v>
      </c>
      <c r="G160" s="457">
        <f t="shared" ca="1" si="82"/>
        <v>7.5586618182948762</v>
      </c>
      <c r="H160" s="457">
        <f t="shared" ca="1" si="82"/>
        <v>3.9674104358946902</v>
      </c>
      <c r="I160" s="457">
        <f t="shared" ca="1" si="82"/>
        <v>0</v>
      </c>
      <c r="J160" s="457">
        <f t="shared" ca="1" si="82"/>
        <v>6.5473368606946538</v>
      </c>
      <c r="K160" s="457">
        <f t="shared" ca="1" si="82"/>
        <v>10.520923454391017</v>
      </c>
      <c r="L160" s="457">
        <f ca="1">SUMIFS($J$53:$J$98,$F$53:$F$98,L144,$D$53:$D$98,"Exit",$E$53:$E$98,"FZK")</f>
        <v>3.7793309091474381</v>
      </c>
      <c r="M160" s="457">
        <f ca="1">SUMIFS($J$53:$J$98,$F$53:$F$98,M144,$D$53:$D$98,"Exit",$E$53:$E$98,"FZK")</f>
        <v>1.8680227073052884</v>
      </c>
      <c r="N160" s="457">
        <f ca="1">SUMIFS($J$53:$J$98,$F$53:$F$98,N144,$D$53:$D$98,"Exit",$E$53:$E$98,"FZK")</f>
        <v>2.0916000000000001</v>
      </c>
      <c r="O160" s="457">
        <f t="shared" ca="1" si="82"/>
        <v>2.0916000000000001</v>
      </c>
      <c r="P160" s="457">
        <f t="shared" ca="1" si="82"/>
        <v>2.0916000000000001</v>
      </c>
      <c r="Q160" s="457">
        <f t="shared" ca="1" si="82"/>
        <v>2.0916000000000001</v>
      </c>
      <c r="R160" s="457">
        <f t="shared" ca="1" si="82"/>
        <v>2.0916000000000001</v>
      </c>
      <c r="S160" s="457">
        <f t="shared" ca="1" si="82"/>
        <v>2.0916000000000001</v>
      </c>
      <c r="T160" s="457">
        <f t="shared" ca="1" si="82"/>
        <v>2.0916000000000001</v>
      </c>
      <c r="U160" s="457">
        <f t="shared" ca="1" si="82"/>
        <v>2.0916000000000001</v>
      </c>
      <c r="V160" s="457">
        <f t="shared" ca="1" si="82"/>
        <v>2.0916000000000001</v>
      </c>
      <c r="W160" s="457">
        <f t="shared" ca="1" si="82"/>
        <v>2.0916000000000001</v>
      </c>
      <c r="X160" s="457">
        <f t="shared" ca="1" si="82"/>
        <v>2.0916000000000001</v>
      </c>
      <c r="Y160" s="457">
        <f t="shared" ca="1" si="82"/>
        <v>2.0916000000000001</v>
      </c>
      <c r="Z160" s="457">
        <f t="shared" ca="1" si="82"/>
        <v>7.680818605912572</v>
      </c>
      <c r="AA160" s="457">
        <f t="shared" ca="1" si="82"/>
        <v>7.680818605912572</v>
      </c>
      <c r="AB160" s="457">
        <f t="shared" ca="1" si="82"/>
        <v>7.680818605912572</v>
      </c>
      <c r="AC160" s="458">
        <f t="shared" ca="1" si="82"/>
        <v>7.680818605912572</v>
      </c>
    </row>
    <row r="161" spans="2:29" ht="15.75" thickBot="1">
      <c r="C161" s="29"/>
      <c r="D161" s="454" t="s">
        <v>212</v>
      </c>
      <c r="E161" s="459">
        <f>SUMIFS($J$53:$J$98,$F$53:$F$98,E144,$D$53:$D$98,"Exit",$E$53:$E$98,"DZK")</f>
        <v>0</v>
      </c>
      <c r="F161" s="460">
        <f>SUMIFS($J$53:$J$98,$F$53:$F$98,F144,$D$53:$D$98,"Exit",$E$53:$E$98,"DZK")</f>
        <v>0</v>
      </c>
      <c r="G161" s="460">
        <f t="shared" ref="G161:AC161" ca="1" si="83">SUMIFS($J$53:$J$98,$F$53:$F$98,G144,$D$53:$D$98,"Exit",$E$53:$E$98,"DZK")</f>
        <v>6.8027956364653885</v>
      </c>
      <c r="H161" s="460">
        <f t="shared" si="83"/>
        <v>0</v>
      </c>
      <c r="I161" s="460">
        <f t="shared" si="83"/>
        <v>0</v>
      </c>
      <c r="J161" s="460">
        <f t="shared" si="83"/>
        <v>0</v>
      </c>
      <c r="K161" s="460">
        <f t="shared" si="83"/>
        <v>0</v>
      </c>
      <c r="L161" s="460">
        <f t="shared" si="83"/>
        <v>0</v>
      </c>
      <c r="M161" s="460">
        <f t="shared" si="83"/>
        <v>0</v>
      </c>
      <c r="N161" s="460">
        <f t="shared" ca="1" si="83"/>
        <v>1.8824400000000001</v>
      </c>
      <c r="O161" s="460">
        <f t="shared" si="83"/>
        <v>0</v>
      </c>
      <c r="P161" s="460">
        <f t="shared" si="83"/>
        <v>0</v>
      </c>
      <c r="Q161" s="460">
        <f t="shared" si="83"/>
        <v>0</v>
      </c>
      <c r="R161" s="460">
        <f ca="1">SUMIFS($J$53:$J$98,$F$53:$F$98,R144,$D$53:$D$98,"Exit",$E$53:$E$98,"DZK")</f>
        <v>1.8824400000000001</v>
      </c>
      <c r="S161" s="460">
        <f t="shared" si="83"/>
        <v>0</v>
      </c>
      <c r="T161" s="460">
        <f t="shared" si="83"/>
        <v>0</v>
      </c>
      <c r="U161" s="460">
        <f t="shared" si="83"/>
        <v>0</v>
      </c>
      <c r="V161" s="460">
        <f t="shared" si="83"/>
        <v>0</v>
      </c>
      <c r="W161" s="460">
        <f t="shared" si="83"/>
        <v>0</v>
      </c>
      <c r="X161" s="460">
        <f t="shared" si="83"/>
        <v>0</v>
      </c>
      <c r="Y161" s="460">
        <f t="shared" si="83"/>
        <v>0</v>
      </c>
      <c r="Z161" s="460">
        <f t="shared" si="83"/>
        <v>0</v>
      </c>
      <c r="AA161" s="460">
        <f t="shared" si="83"/>
        <v>0</v>
      </c>
      <c r="AB161" s="460">
        <f t="shared" si="83"/>
        <v>0</v>
      </c>
      <c r="AC161" s="461">
        <f t="shared" si="83"/>
        <v>0</v>
      </c>
    </row>
    <row r="162" spans="2:29">
      <c r="E162" s="5"/>
      <c r="F162" s="5"/>
      <c r="G162" s="5"/>
      <c r="J162" s="5"/>
      <c r="K162" s="5"/>
      <c r="L162" s="5"/>
      <c r="M162" s="5"/>
      <c r="N162" s="5"/>
      <c r="O162" s="5"/>
      <c r="P162" s="5"/>
      <c r="Q162" s="5"/>
      <c r="R162" s="5"/>
      <c r="S162" s="5"/>
      <c r="T162" s="5"/>
      <c r="U162" s="5"/>
      <c r="V162" s="5"/>
      <c r="W162" s="5"/>
      <c r="X162" s="5"/>
      <c r="Y162" s="5"/>
      <c r="Z162" s="5"/>
      <c r="AA162" s="5"/>
      <c r="AB162" s="5"/>
      <c r="AC162" s="5"/>
    </row>
    <row r="163" spans="2:29">
      <c r="E163" s="5" t="s">
        <v>352</v>
      </c>
      <c r="F163" s="5"/>
      <c r="G163" s="5" t="s">
        <v>353</v>
      </c>
      <c r="J163" s="5"/>
      <c r="K163" s="5"/>
      <c r="L163" s="5"/>
      <c r="M163" s="5"/>
      <c r="N163" s="5"/>
      <c r="O163" s="5"/>
      <c r="P163" s="5"/>
      <c r="Q163" s="5"/>
      <c r="R163" s="5"/>
      <c r="S163" s="5"/>
      <c r="T163" s="5"/>
      <c r="U163" s="5"/>
      <c r="V163" s="5"/>
      <c r="W163" s="5"/>
      <c r="X163" s="5"/>
      <c r="Y163" s="5"/>
      <c r="Z163" s="5"/>
      <c r="AA163" s="5"/>
      <c r="AB163" s="5"/>
      <c r="AC163" s="5"/>
    </row>
    <row r="164" spans="2:29">
      <c r="B164" s="52" t="s">
        <v>19</v>
      </c>
      <c r="C164" s="23"/>
      <c r="D164" s="24" t="s">
        <v>216</v>
      </c>
      <c r="E164" s="25">
        <f ca="1">SUMPRODUCT(AJ145:AJ154,$AO$145:$AO$154)*1000</f>
        <v>28031839.088408891</v>
      </c>
      <c r="F164" s="42">
        <f ca="1">E164/(E164+E165)</f>
        <v>0.37785665343860442</v>
      </c>
      <c r="G164" s="5">
        <v>33633481.733204231</v>
      </c>
      <c r="H164" s="5">
        <f t="shared" ref="H164:H169" ca="1" si="84">G164-E164</f>
        <v>5601642.6447953396</v>
      </c>
    </row>
    <row r="165" spans="2:29">
      <c r="B165" s="52" t="s">
        <v>19</v>
      </c>
      <c r="C165" s="23"/>
      <c r="D165" s="24" t="s">
        <v>217</v>
      </c>
      <c r="E165" s="27">
        <f ca="1">SUMPRODUCT(AK145:AK154,$AO$145:$AO$154)*1000</f>
        <v>46154598.634232968</v>
      </c>
      <c r="F165" s="42">
        <f ca="1">1-F164</f>
        <v>0.62214334656139558</v>
      </c>
      <c r="G165" s="5">
        <v>83641967.511411428</v>
      </c>
      <c r="H165" s="5">
        <f t="shared" ca="1" si="84"/>
        <v>37487368.87717846</v>
      </c>
    </row>
    <row r="166" spans="2:29">
      <c r="B166" s="52" t="s">
        <v>19</v>
      </c>
      <c r="C166" s="23"/>
      <c r="D166" s="24" t="s">
        <v>218</v>
      </c>
      <c r="E166" s="25">
        <f ca="1">SUMPRODUCT($E$155:$AC$155*$E$160:$AC$160*($E$142:$AC$142="Intra"))+SUMPRODUCT($E$156:$AC$156*$E$161:$AC$161*($E$142:$AC$142="Intra"))</f>
        <v>69087942.166070566</v>
      </c>
      <c r="F166" s="42">
        <f ca="1">E166/(E166+E167)</f>
        <v>0.33379870097797942</v>
      </c>
      <c r="G166" s="5">
        <v>20990369.854642462</v>
      </c>
      <c r="H166" s="5">
        <f t="shared" ca="1" si="84"/>
        <v>-48097572.3114281</v>
      </c>
    </row>
    <row r="167" spans="2:29">
      <c r="B167" s="52" t="s">
        <v>19</v>
      </c>
      <c r="C167" s="34"/>
      <c r="D167" s="35" t="s">
        <v>219</v>
      </c>
      <c r="E167" s="25">
        <f ca="1">SUMPRODUCT($E$155:$AC$155*$E$160:$AC$160*($E$142:$AC$142="Cross"))+SUMPRODUCT($E$156:$AC$156*$E$161:$AC$161*($E$142:$AC$142="Cross"))</f>
        <v>137886926.11128759</v>
      </c>
      <c r="F167" s="42">
        <f ca="1">1-F166</f>
        <v>0.66620129902202052</v>
      </c>
      <c r="G167" s="5">
        <v>111734180.90074188</v>
      </c>
      <c r="H167" s="5">
        <f t="shared" ca="1" si="84"/>
        <v>-26152745.210545719</v>
      </c>
    </row>
    <row r="168" spans="2:29">
      <c r="B168" s="52" t="s">
        <v>19</v>
      </c>
      <c r="C168" s="38"/>
      <c r="D168" s="39" t="s">
        <v>64</v>
      </c>
      <c r="E168" s="36">
        <f ca="1">E164+E166</f>
        <v>97119781.254479453</v>
      </c>
      <c r="F168" s="9">
        <f ca="1">E168/(E168+E169)</f>
        <v>0.34542370938652367</v>
      </c>
      <c r="G168" s="5">
        <v>54623851.587846696</v>
      </c>
      <c r="H168" s="5">
        <f t="shared" ca="1" si="84"/>
        <v>-42495929.666632757</v>
      </c>
    </row>
    <row r="169" spans="2:29">
      <c r="B169" s="52" t="s">
        <v>19</v>
      </c>
      <c r="C169" s="37"/>
      <c r="D169" s="30" t="s">
        <v>65</v>
      </c>
      <c r="E169" s="26">
        <f ca="1">E165+E167</f>
        <v>184041524.74552056</v>
      </c>
      <c r="F169" s="54">
        <f ca="1">1-F168</f>
        <v>0.65457629061347633</v>
      </c>
      <c r="G169" s="5">
        <v>195376148.4121533</v>
      </c>
      <c r="H169" s="5">
        <f t="shared" ca="1" si="84"/>
        <v>11334623.666632742</v>
      </c>
    </row>
    <row r="170" spans="2:29">
      <c r="C170" s="22"/>
      <c r="D170" s="22"/>
      <c r="E170" s="256">
        <f ca="1">E169+E168-costs_GCA_capa-costs_TAG_capa</f>
        <v>0</v>
      </c>
      <c r="G170" s="5"/>
    </row>
    <row r="171" spans="2:29">
      <c r="B171" s="52" t="s">
        <v>220</v>
      </c>
      <c r="C171" s="34"/>
      <c r="D171" s="35" t="s">
        <v>66</v>
      </c>
      <c r="E171" s="33">
        <f ca="1">SUM(AL145:AL154)</f>
        <v>2032351.5109590236</v>
      </c>
      <c r="F171" s="9">
        <f ca="1">E171/(E171+E174)</f>
        <v>0.23580507053198474</v>
      </c>
      <c r="G171" s="5"/>
      <c r="J171" s="18"/>
      <c r="K171" s="21" t="s">
        <v>74</v>
      </c>
      <c r="L171" s="16"/>
    </row>
    <row r="172" spans="2:29">
      <c r="B172" s="52" t="s">
        <v>220</v>
      </c>
      <c r="C172" s="23"/>
      <c r="D172" s="24" t="s">
        <v>67</v>
      </c>
      <c r="E172" s="33">
        <f ca="1">SUMIFS($E$159:$AC$159,$E$142:$AC$142,"Intra")</f>
        <v>4930556.4999637948</v>
      </c>
      <c r="F172" s="9">
        <f ca="1">E172/(E172+E175)</f>
        <v>0.43120900480589969</v>
      </c>
      <c r="G172" s="5"/>
      <c r="J172" s="28" t="s">
        <v>69</v>
      </c>
      <c r="K172" s="46">
        <f ca="1">E168/E173</f>
        <v>13.948163770385332</v>
      </c>
      <c r="L172" s="15" t="s">
        <v>80</v>
      </c>
    </row>
    <row r="173" spans="2:29">
      <c r="B173" s="52" t="s">
        <v>220</v>
      </c>
      <c r="C173" s="326"/>
      <c r="D173" s="314" t="s">
        <v>68</v>
      </c>
      <c r="E173" s="26">
        <f ca="1">E171+E172</f>
        <v>6962908.0109228184</v>
      </c>
      <c r="F173" s="9"/>
      <c r="G173" s="5"/>
      <c r="J173" s="28" t="s">
        <v>71</v>
      </c>
      <c r="K173" s="46">
        <f ca="1">E169/E176</f>
        <v>14.05956297677975</v>
      </c>
      <c r="L173" s="15" t="s">
        <v>80</v>
      </c>
    </row>
    <row r="174" spans="2:29">
      <c r="B174" s="52" t="s">
        <v>220</v>
      </c>
      <c r="C174" s="327"/>
      <c r="D174" s="315" t="s">
        <v>70</v>
      </c>
      <c r="E174" s="27">
        <f ca="1">SUM(AM145:AM154)</f>
        <v>6586426.3057094868</v>
      </c>
      <c r="F174" s="9">
        <f ca="1">1-F171</f>
        <v>0.76419492946801526</v>
      </c>
      <c r="G174" s="5"/>
      <c r="J174" s="28" t="s">
        <v>81</v>
      </c>
      <c r="K174" s="19">
        <f ca="1">2*(ABS(K172-K173))/(K172+K173)</f>
        <v>7.954890977054695E-3</v>
      </c>
      <c r="L174" s="16"/>
    </row>
    <row r="175" spans="2:29">
      <c r="B175" s="52" t="s">
        <v>220</v>
      </c>
      <c r="C175" s="327"/>
      <c r="D175" s="315" t="s">
        <v>72</v>
      </c>
      <c r="E175" s="33">
        <f ca="1">SUMIFS($E$159:$AC$159,$E$142:$AC$142,"Cross")</f>
        <v>6503704.94868844</v>
      </c>
      <c r="F175" s="9">
        <f ca="1">1-F172</f>
        <v>0.56879099519410037</v>
      </c>
      <c r="G175" s="5"/>
      <c r="J175" s="1065" t="str">
        <f ca="1">IF(K174&lt;0.1,"justification not required","justification required!")</f>
        <v>justification not required</v>
      </c>
      <c r="K175" s="1066"/>
      <c r="L175" s="16"/>
    </row>
    <row r="176" spans="2:29">
      <c r="B176" s="52" t="s">
        <v>220</v>
      </c>
      <c r="C176" s="328"/>
      <c r="D176" s="313" t="s">
        <v>73</v>
      </c>
      <c r="E176" s="26">
        <f ca="1">E174+E175</f>
        <v>13090131.254397927</v>
      </c>
      <c r="G176" s="5"/>
    </row>
    <row r="177" spans="1:48">
      <c r="E177" s="256">
        <f ca="1">E173+E176-SUM(E159:AC159,AL145:AM154)</f>
        <v>0</v>
      </c>
    </row>
    <row r="179" spans="1:48" ht="18.75">
      <c r="A179" s="60" t="s">
        <v>257</v>
      </c>
      <c r="B179" s="60"/>
      <c r="C179" s="60"/>
      <c r="D179" s="60"/>
      <c r="E179" s="60"/>
      <c r="F179" s="60"/>
      <c r="G179" s="60"/>
      <c r="H179" s="61"/>
      <c r="I179" s="61"/>
      <c r="J179" s="60"/>
      <c r="K179" s="60"/>
      <c r="L179" s="60"/>
      <c r="M179" s="60"/>
      <c r="N179" s="60"/>
      <c r="O179" s="60"/>
      <c r="P179" s="60"/>
      <c r="Q179" s="60"/>
      <c r="R179" s="60"/>
      <c r="S179" s="60"/>
      <c r="T179" s="60"/>
      <c r="U179" s="60"/>
      <c r="V179" s="60"/>
      <c r="W179" s="60"/>
      <c r="X179" s="60"/>
      <c r="Y179" s="60"/>
      <c r="Z179" s="60"/>
      <c r="AA179" s="60"/>
      <c r="AB179" s="60"/>
      <c r="AC179" s="60"/>
      <c r="AD179" s="60"/>
      <c r="AE179" s="60"/>
      <c r="AF179" s="60"/>
      <c r="AG179" s="60"/>
      <c r="AH179" s="60"/>
      <c r="AI179" s="60"/>
      <c r="AJ179" s="60"/>
      <c r="AK179" s="60"/>
      <c r="AL179" s="60"/>
      <c r="AM179" s="60"/>
      <c r="AN179" s="60"/>
      <c r="AO179" s="60"/>
      <c r="AP179" s="60"/>
      <c r="AQ179" s="60"/>
      <c r="AR179" s="60"/>
      <c r="AS179" s="60"/>
      <c r="AT179" s="60"/>
      <c r="AU179" s="60"/>
      <c r="AV179" s="60"/>
    </row>
    <row r="181" spans="1:48">
      <c r="B181" s="13" t="s">
        <v>276</v>
      </c>
      <c r="C181" s="519">
        <f ca="1">C4</f>
        <v>2027</v>
      </c>
    </row>
    <row r="182" spans="1:48" outlineLevel="1">
      <c r="B182" s="13"/>
      <c r="C182" s="432"/>
    </row>
    <row r="183" spans="1:48" outlineLevel="1">
      <c r="B183" s="13"/>
      <c r="C183" s="13"/>
    </row>
    <row r="184" spans="1:48" outlineLevel="1">
      <c r="B184" s="13"/>
      <c r="C184" s="13"/>
      <c r="D184" s="55" t="s">
        <v>0</v>
      </c>
      <c r="E184" s="55" t="s">
        <v>13</v>
      </c>
    </row>
    <row r="185" spans="1:48" outlineLevel="1">
      <c r="B185" s="13" t="s">
        <v>21</v>
      </c>
      <c r="C185" s="13" t="s">
        <v>22</v>
      </c>
      <c r="D185" s="434">
        <f ca="1">(OFFSET(Tariff_SimCalculation!O106,,$C$181-rpm_start_year)+OFFSET(Tariff_SimCalculation!O107,,$C$181-rpm_start_year))/1000</f>
        <v>4120916.0329999998</v>
      </c>
      <c r="E185" s="434">
        <f ca="1">OFFSET(Tariff_SimCalculation!O122,,$C$181-rpm_start_year)/1000</f>
        <v>0</v>
      </c>
      <c r="G185" s="5"/>
    </row>
    <row r="186" spans="1:48" outlineLevel="1">
      <c r="B186" s="13" t="s">
        <v>21</v>
      </c>
      <c r="C186" s="13" t="s">
        <v>23</v>
      </c>
      <c r="D186" s="434">
        <f ca="1">(OFFSET(Tariff_SimCalculation!O108,,$C$181-rpm_start_year))/1000</f>
        <v>60068188.115999997</v>
      </c>
      <c r="E186" s="434"/>
      <c r="G186" s="5"/>
      <c r="J186" s="433"/>
    </row>
    <row r="187" spans="1:48" outlineLevel="1">
      <c r="B187" s="13" t="s">
        <v>21</v>
      </c>
      <c r="C187" s="13" t="s">
        <v>24</v>
      </c>
      <c r="D187" s="434">
        <f ca="1">(OFFSET(Tariff_SimCalculation!O109,,$C$181-rpm_start_year)+OFFSET(Tariff_SimCalculation!O110,,$C$181-rpm_start_year))/1000</f>
        <v>7165934.04</v>
      </c>
      <c r="E187" s="434"/>
      <c r="G187" s="5"/>
    </row>
    <row r="188" spans="1:48" outlineLevel="1">
      <c r="B188" s="13" t="s">
        <v>21</v>
      </c>
      <c r="C188" s="13" t="s">
        <v>39</v>
      </c>
      <c r="D188" s="434"/>
      <c r="E188" s="434"/>
      <c r="G188" s="5"/>
    </row>
    <row r="189" spans="1:48" outlineLevel="1">
      <c r="B189" s="13" t="s">
        <v>21</v>
      </c>
      <c r="C189" s="13" t="s">
        <v>34</v>
      </c>
      <c r="D189" s="434"/>
      <c r="E189" s="434"/>
      <c r="G189" s="5"/>
    </row>
    <row r="190" spans="1:48" outlineLevel="1">
      <c r="B190" s="13" t="s">
        <v>21</v>
      </c>
      <c r="C190" s="13" t="s">
        <v>33</v>
      </c>
      <c r="D190" s="434"/>
      <c r="E190" s="434"/>
      <c r="G190" s="5"/>
    </row>
    <row r="191" spans="1:48" outlineLevel="1">
      <c r="B191" s="13" t="s">
        <v>21</v>
      </c>
      <c r="C191" s="13" t="s">
        <v>20</v>
      </c>
      <c r="D191" s="434"/>
      <c r="E191" s="434">
        <f ca="1">OFFSET(Tariff_SimCalculation!O125,,$C$181-rpm_start_year)/1000</f>
        <v>10071000</v>
      </c>
      <c r="G191" s="5"/>
    </row>
    <row r="192" spans="1:48" outlineLevel="1">
      <c r="B192" s="13" t="s">
        <v>21</v>
      </c>
      <c r="C192" s="13" t="s">
        <v>56</v>
      </c>
      <c r="D192" s="434">
        <f ca="1">((OFFSET(Tariff_SimCalculation!H119,,$C$181-rpm_start_year))/1000)*(OFFSET(Tariff_SimCalculation!H73,,$C$181-rpm_start_year)/SUM(OFFSET(Tariff_SimCalculation!H73:H74,,$C$181-rpm_start_year)))</f>
        <v>0</v>
      </c>
      <c r="E192" s="434"/>
      <c r="G192" s="5"/>
    </row>
    <row r="193" spans="2:7" outlineLevel="1">
      <c r="B193" s="13" t="s">
        <v>21</v>
      </c>
      <c r="C193" s="13" t="s">
        <v>25</v>
      </c>
      <c r="D193" s="434">
        <f ca="1">((OFFSET(Tariff_SimCalculation!O119,,$C$181-rpm_start_year))/1000)*(OFFSET(Tariff_SimCalculation!O74,,$C$181-rpm_start_year)/SUM(OFFSET(Tariff_SimCalculation!O73:O74,,$C$181-rpm_start_year)))</f>
        <v>14807971.364</v>
      </c>
      <c r="E193" s="434"/>
      <c r="G193" s="5"/>
    </row>
    <row r="194" spans="2:7" outlineLevel="1">
      <c r="B194" s="13" t="s">
        <v>21</v>
      </c>
      <c r="C194" s="13" t="s">
        <v>35</v>
      </c>
      <c r="D194" s="434">
        <f ca="1">(OFFSET(Tariff_SimCalculation!O118,,$C$181-rpm_start_year))/1000</f>
        <v>1839918.1040000001</v>
      </c>
      <c r="E194" s="434"/>
      <c r="G194" s="5"/>
    </row>
    <row r="195" spans="2:7" outlineLevel="1">
      <c r="B195" s="13" t="s">
        <v>30</v>
      </c>
      <c r="C195" s="13" t="s">
        <v>22</v>
      </c>
      <c r="D195" s="434">
        <f ca="1">(OFFSET(Tariff_SimCalculation!O111,,$C$181-rpm_start_year))/1000</f>
        <v>0</v>
      </c>
      <c r="E195" s="434"/>
      <c r="G195" s="5"/>
    </row>
    <row r="196" spans="2:7" outlineLevel="1">
      <c r="B196" s="13" t="s">
        <v>30</v>
      </c>
      <c r="C196" s="13" t="s">
        <v>23</v>
      </c>
      <c r="D196" s="434">
        <f ca="1">(OFFSET(Tariff_SimCalculation!O114,,$C$181-rpm_start_year))/1000</f>
        <v>0</v>
      </c>
      <c r="E196" s="434"/>
      <c r="G196" s="5"/>
    </row>
    <row r="197" spans="2:7" outlineLevel="1">
      <c r="B197" s="13" t="s">
        <v>30</v>
      </c>
      <c r="C197" s="13" t="s">
        <v>24</v>
      </c>
      <c r="D197" s="434">
        <f ca="1">(OFFSET(Tariff_SimCalculation!O116,,$C$181-rpm_start_year)+OFFSET(Tariff_SimCalculation!O117,,$C$181-rpm_start_year))/1000</f>
        <v>0</v>
      </c>
      <c r="E197" s="434"/>
      <c r="G197" s="5"/>
    </row>
    <row r="198" spans="2:7" outlineLevel="1">
      <c r="B198" s="13" t="s">
        <v>30</v>
      </c>
      <c r="C198" s="13" t="s">
        <v>39</v>
      </c>
      <c r="D198" s="434">
        <f ca="1">(OFFSET(Tariff_SimCalculation!O112,,$C$181-rpm_start_year))/1000</f>
        <v>23499000</v>
      </c>
      <c r="E198" s="434"/>
      <c r="G198" s="5"/>
    </row>
    <row r="199" spans="2:7" outlineLevel="1">
      <c r="B199" s="13" t="s">
        <v>30</v>
      </c>
      <c r="C199" s="13" t="s">
        <v>34</v>
      </c>
      <c r="D199" s="434">
        <f ca="1">(OFFSET(Tariff_SimCalculation!O115,,$C$181-rpm_start_year))/1000</f>
        <v>0</v>
      </c>
      <c r="E199" s="434"/>
      <c r="G199" s="5"/>
    </row>
    <row r="200" spans="2:7" outlineLevel="1">
      <c r="B200" s="13" t="s">
        <v>30</v>
      </c>
      <c r="C200" s="13" t="s">
        <v>33</v>
      </c>
      <c r="D200" s="434">
        <f ca="1">(OFFSET(Tariff_SimCalculation!O113,,$C$181-rpm_start_year))/1000</f>
        <v>6550835.1160000004</v>
      </c>
      <c r="E200" s="434"/>
      <c r="G200" s="5"/>
    </row>
    <row r="201" spans="2:7" outlineLevel="1">
      <c r="B201" s="13" t="s">
        <v>30</v>
      </c>
      <c r="C201" s="13" t="s">
        <v>20</v>
      </c>
      <c r="E201" s="434">
        <f ca="1">OFFSET(Tariff_SimCalculation!O123,,$C$181-rpm_start_year)/1000</f>
        <v>16785000</v>
      </c>
      <c r="G201" s="5"/>
    </row>
    <row r="202" spans="2:7" outlineLevel="1">
      <c r="B202" s="13" t="s">
        <v>30</v>
      </c>
      <c r="C202" s="13" t="s">
        <v>56</v>
      </c>
      <c r="D202" s="434">
        <f ca="1">((OFFSET(Tariff_SimCalculation!O121,,$C$181-rpm_start_year))/1000)*(OFFSET(Tariff_SimCalculation!O75,,$C$181-rpm_start_year)/SUM(OFFSET(Tariff_SimCalculation!O75:O76,,$C$181-rpm_start_year)))</f>
        <v>0</v>
      </c>
      <c r="E202" s="434"/>
      <c r="G202" s="5"/>
    </row>
    <row r="203" spans="2:7" outlineLevel="1">
      <c r="B203" s="335" t="s">
        <v>30</v>
      </c>
      <c r="C203" s="335" t="s">
        <v>25</v>
      </c>
      <c r="D203" s="520">
        <f ca="1">((OFFSET(Tariff_SimCalculation!O121,,$C$181-rpm_start_year))/1000)*(OFFSET(Tariff_SimCalculation!O76,,$C$181-rpm_start_year)/SUM(OFFSET(Tariff_SimCalculation!O75:O76,,$C$181-rpm_start_year)))</f>
        <v>14807971.364</v>
      </c>
      <c r="E203" s="520"/>
      <c r="G203" s="5"/>
    </row>
    <row r="204" spans="2:7" outlineLevel="1">
      <c r="B204" s="13" t="s">
        <v>30</v>
      </c>
      <c r="C204" s="13" t="s">
        <v>40</v>
      </c>
      <c r="D204" s="434">
        <f ca="1">((OFFSET(Tariff_SimCalculation!$O$120,,$C$181-rpm_start_year))/1000)*(SUM(OFFSET(Tariff_SimCalculation!O83:O84,,$C$181-rpm_start_year))/SUM(OFFSET(Tariff_SimCalculation!$O$83:$O$91,,$C$181-rpm_start_year)))</f>
        <v>10342766.256322246</v>
      </c>
      <c r="E204" s="434"/>
      <c r="G204" s="5"/>
    </row>
    <row r="205" spans="2:7" outlineLevel="1">
      <c r="B205" s="13" t="s">
        <v>30</v>
      </c>
      <c r="C205" s="13" t="s">
        <v>41</v>
      </c>
      <c r="D205" s="434">
        <f ca="1">((OFFSET(Tariff_SimCalculation!$O$120,,$C$181-rpm_start_year))/1000)*(SUM(OFFSET(Tariff_SimCalculation!O85,,$C$181-rpm_start_year))/SUM(OFFSET(Tariff_SimCalculation!$O$83:$O$91,,$C$181-rpm_start_year)))</f>
        <v>0</v>
      </c>
      <c r="E205" s="434"/>
      <c r="G205" s="5"/>
    </row>
    <row r="206" spans="2:7" outlineLevel="1">
      <c r="B206" s="13" t="s">
        <v>30</v>
      </c>
      <c r="C206" s="13" t="s">
        <v>42</v>
      </c>
      <c r="D206" s="434">
        <f ca="1">((OFFSET(Tariff_SimCalculation!$O$120,,$C$181-rpm_start_year))/1000)*(SUM(OFFSET(Tariff_SimCalculation!O86,,$C$181-rpm_start_year))/SUM(OFFSET(Tariff_SimCalculation!$O$83:$O$91,,$C$181-rpm_start_year)))</f>
        <v>0</v>
      </c>
      <c r="E206" s="434"/>
      <c r="G206" s="5"/>
    </row>
    <row r="207" spans="2:7" outlineLevel="1">
      <c r="B207" s="13" t="s">
        <v>30</v>
      </c>
      <c r="C207" s="13" t="s">
        <v>43</v>
      </c>
      <c r="D207" s="434">
        <f ca="1">((OFFSET(Tariff_SimCalculation!$O$120,,$C$181-rpm_start_year))/1000)*(SUM(OFFSET(Tariff_SimCalculation!O87,,$C$181-rpm_start_year))/SUM(OFFSET(Tariff_SimCalculation!$O$83:$O$91,,$C$181-rpm_start_year)))</f>
        <v>0</v>
      </c>
      <c r="E207" s="434"/>
      <c r="G207" s="5"/>
    </row>
    <row r="208" spans="2:7" outlineLevel="1">
      <c r="B208" s="13" t="s">
        <v>30</v>
      </c>
      <c r="C208" s="13" t="s">
        <v>44</v>
      </c>
      <c r="D208" s="434">
        <f ca="1">((OFFSET(Tariff_SimCalculation!$O$120,,$C$181-rpm_start_year))/1000)*(SUM(OFFSET(Tariff_SimCalculation!O88:O89,,$C$181-rpm_start_year))/SUM(OFFSET(Tariff_SimCalculation!$O$83:$O$91,,$C$181-rpm_start_year)))</f>
        <v>5307145.0307093691</v>
      </c>
      <c r="E208" s="434"/>
      <c r="G208" s="5"/>
    </row>
    <row r="209" spans="2:38" outlineLevel="1">
      <c r="B209" s="13" t="s">
        <v>30</v>
      </c>
      <c r="C209" s="13" t="s">
        <v>45</v>
      </c>
      <c r="D209" s="434">
        <f ca="1">((OFFSET(Tariff_SimCalculation!$O$120,,$C$181-rpm_start_year))/1000)*(SUM(OFFSET(Tariff_SimCalculation!O90,,$C$181-rpm_start_year))/SUM(OFFSET(Tariff_SimCalculation!$O$83:$O$91,,$C$181-rpm_start_year)))</f>
        <v>0</v>
      </c>
      <c r="E209" s="434"/>
      <c r="G209" s="5"/>
    </row>
    <row r="210" spans="2:38" outlineLevel="1">
      <c r="B210" s="13" t="s">
        <v>30</v>
      </c>
      <c r="C210" s="13" t="s">
        <v>46</v>
      </c>
      <c r="D210" s="434">
        <f ca="1">((OFFSET(Tariff_SimCalculation!$O$120,,$C$181-rpm_start_year))/1000)*(SUM(OFFSET(Tariff_SimCalculation!O91,,$C$181-rpm_start_year))/SUM(OFFSET(Tariff_SimCalculation!$O$83:$O$91,,$C$181-rpm_start_year)))</f>
        <v>47797388.712968387</v>
      </c>
      <c r="E210" s="434"/>
      <c r="G210" s="5"/>
    </row>
    <row r="211" spans="2:38" outlineLevel="1">
      <c r="B211" s="13" t="s">
        <v>30</v>
      </c>
      <c r="C211" s="13" t="s">
        <v>47</v>
      </c>
      <c r="D211" s="434"/>
      <c r="E211" s="434">
        <f ca="1">((OFFSET(Tariff_SimCalculation!$O$124,,$C$181-rpm_start_year))/1000)*(SUM(OFFSET(Tariff_SimCalculation!O92,,$C$181-rpm_start_year))/SUM(OFFSET(Tariff_SimCalculation!$O$92:$O$100,,$C$181-rpm_start_year)))</f>
        <v>2186104.8793942709</v>
      </c>
      <c r="G211" s="5"/>
    </row>
    <row r="212" spans="2:38" outlineLevel="1">
      <c r="B212" s="13" t="s">
        <v>30</v>
      </c>
      <c r="C212" s="13" t="s">
        <v>48</v>
      </c>
      <c r="D212" s="434"/>
      <c r="E212" s="434">
        <f ca="1">((OFFSET(Tariff_SimCalculation!$O$124,,$C$181-rpm_start_year))/1000)*(SUM(OFFSET(Tariff_SimCalculation!O93,,$C$181-rpm_start_year))/SUM(OFFSET(Tariff_SimCalculation!$O$92:$O$100,,$C$181-rpm_start_year)))</f>
        <v>327926.64765303035</v>
      </c>
      <c r="G212" s="5"/>
    </row>
    <row r="213" spans="2:38" outlineLevel="1">
      <c r="B213" s="13" t="s">
        <v>30</v>
      </c>
      <c r="C213" s="13" t="s">
        <v>49</v>
      </c>
      <c r="D213" s="434"/>
      <c r="E213" s="434">
        <f ca="1">((OFFSET(Tariff_SimCalculation!$O$124,,$C$181-rpm_start_year))/1000)*(SUM(OFFSET(Tariff_SimCalculation!O94,,$C$181-rpm_start_year))/SUM(OFFSET(Tariff_SimCalculation!$O$92:$O$100,,$C$181-rpm_start_year)))</f>
        <v>435526.38039500383</v>
      </c>
      <c r="G213" s="5"/>
    </row>
    <row r="214" spans="2:38" outlineLevel="1">
      <c r="B214" s="13" t="s">
        <v>30</v>
      </c>
      <c r="C214" s="13" t="s">
        <v>50</v>
      </c>
      <c r="D214" s="435"/>
      <c r="E214" s="434">
        <f ca="1">((OFFSET(Tariff_SimCalculation!$O$124,,$C$181-rpm_start_year))/1000)*(SUM(OFFSET(Tariff_SimCalculation!O95,,$C$181-rpm_start_year))/SUM(OFFSET(Tariff_SimCalculation!$O$92:$O$100,,$C$181-rpm_start_year)))</f>
        <v>3840262.9408351826</v>
      </c>
      <c r="G214" s="5"/>
    </row>
    <row r="215" spans="2:38" outlineLevel="1">
      <c r="B215" s="13" t="s">
        <v>30</v>
      </c>
      <c r="C215" s="13" t="s">
        <v>51</v>
      </c>
      <c r="D215" s="435"/>
      <c r="E215" s="434">
        <f ca="1">((OFFSET(Tariff_SimCalculation!$O$124,,$C$181-rpm_start_year))/1000)*(SUM(OFFSET(Tariff_SimCalculation!O96,,$C$181-rpm_start_year))/SUM(OFFSET(Tariff_SimCalculation!$O$92:$O$100,,$C$181-rpm_start_year)))</f>
        <v>217244.93821282857</v>
      </c>
      <c r="G215" s="5"/>
    </row>
    <row r="216" spans="2:38" outlineLevel="1">
      <c r="B216" s="13" t="s">
        <v>30</v>
      </c>
      <c r="C216" s="13" t="s">
        <v>52</v>
      </c>
      <c r="D216" s="435"/>
      <c r="E216" s="434">
        <f ca="1">((OFFSET(Tariff_SimCalculation!$O$124,,$C$181-rpm_start_year))/1000)*(SUM(OFFSET(Tariff_SimCalculation!O97,,$C$181-rpm_start_year))/SUM(OFFSET(Tariff_SimCalculation!$O$92:$O$100,,$C$181-rpm_start_year)))</f>
        <v>108612.63510291005</v>
      </c>
      <c r="G216" s="5"/>
    </row>
    <row r="217" spans="2:38" outlineLevel="1">
      <c r="B217" s="13" t="s">
        <v>30</v>
      </c>
      <c r="C217" s="13" t="s">
        <v>53</v>
      </c>
      <c r="D217" s="436"/>
      <c r="E217" s="434">
        <f ca="1">((OFFSET(Tariff_SimCalculation!$O$124,,$C$181-rpm_start_year))/1000)*(SUM(OFFSET(Tariff_SimCalculation!O98,,$C$181-rpm_start_year))/SUM(OFFSET(Tariff_SimCalculation!$O$92:$O$100,,$C$181-rpm_start_year)))</f>
        <v>43312.885034067054</v>
      </c>
      <c r="G217" s="5"/>
    </row>
    <row r="218" spans="2:38" outlineLevel="1">
      <c r="B218" s="13" t="s">
        <v>30</v>
      </c>
      <c r="C218" s="13" t="s">
        <v>54</v>
      </c>
      <c r="D218" s="436"/>
      <c r="E218" s="434">
        <f ca="1">((OFFSET(Tariff_SimCalculation!$O$124,,$C$181-rpm_start_year))/1000)*(SUM(OFFSET(Tariff_SimCalculation!O99,,$C$181-rpm_start_year))/SUM(OFFSET(Tariff_SimCalculation!$O$92:$O$100,,$C$181-rpm_start_year)))</f>
        <v>216519.18875421581</v>
      </c>
      <c r="G218" s="5"/>
    </row>
    <row r="219" spans="2:38" outlineLevel="1">
      <c r="B219" s="13" t="s">
        <v>30</v>
      </c>
      <c r="C219" s="13" t="s">
        <v>55</v>
      </c>
      <c r="D219" s="436"/>
      <c r="E219" s="434">
        <f ca="1">((OFFSET(Tariff_SimCalculation!$O$124,,$C$181-rpm_start_year))/1000)*(SUM(OFFSET(Tariff_SimCalculation!O100,,$C$181-rpm_start_year))/SUM(OFFSET(Tariff_SimCalculation!$O$92:$O$100,,$C$181-rpm_start_year)))</f>
        <v>559631.50461849093</v>
      </c>
      <c r="G219" s="5"/>
    </row>
    <row r="220" spans="2:38">
      <c r="B220" s="13"/>
      <c r="C220" s="13"/>
    </row>
    <row r="221" spans="2:38" ht="15.75" thickBot="1">
      <c r="C221" s="42"/>
    </row>
    <row r="222" spans="2:38" ht="15.75" thickBot="1">
      <c r="B222" s="31"/>
      <c r="C222" s="337"/>
      <c r="D222" s="338" t="s">
        <v>30</v>
      </c>
      <c r="E222" s="339" t="s">
        <v>30</v>
      </c>
      <c r="F222" s="339" t="s">
        <v>30</v>
      </c>
      <c r="G222" s="339" t="s">
        <v>30</v>
      </c>
      <c r="H222" s="339" t="s">
        <v>30</v>
      </c>
      <c r="I222" s="339" t="s">
        <v>30</v>
      </c>
      <c r="J222" s="339" t="s">
        <v>30</v>
      </c>
      <c r="K222" s="339" t="s">
        <v>30</v>
      </c>
      <c r="L222" s="339" t="s">
        <v>30</v>
      </c>
      <c r="M222" s="339" t="s">
        <v>30</v>
      </c>
      <c r="N222" s="339" t="s">
        <v>30</v>
      </c>
      <c r="O222" s="339" t="s">
        <v>30</v>
      </c>
      <c r="P222" s="339" t="s">
        <v>30</v>
      </c>
      <c r="Q222" s="339" t="s">
        <v>30</v>
      </c>
      <c r="R222" s="339" t="s">
        <v>30</v>
      </c>
      <c r="S222" s="339" t="s">
        <v>30</v>
      </c>
      <c r="T222" s="339" t="s">
        <v>30</v>
      </c>
      <c r="U222" s="339" t="s">
        <v>30</v>
      </c>
      <c r="V222" s="339" t="s">
        <v>30</v>
      </c>
      <c r="W222" s="339" t="s">
        <v>30</v>
      </c>
      <c r="X222" s="339" t="s">
        <v>30</v>
      </c>
      <c r="Y222" s="339" t="s">
        <v>30</v>
      </c>
      <c r="Z222" s="339" t="s">
        <v>30</v>
      </c>
      <c r="AA222" s="339" t="s">
        <v>30</v>
      </c>
      <c r="AB222" s="340" t="s">
        <v>30</v>
      </c>
    </row>
    <row r="223" spans="2:38" ht="15.75" thickBot="1">
      <c r="B223" s="341" t="s">
        <v>258</v>
      </c>
      <c r="C223" s="342" t="s">
        <v>109</v>
      </c>
      <c r="D223" s="343" t="s">
        <v>82</v>
      </c>
      <c r="E223" s="344" t="s">
        <v>82</v>
      </c>
      <c r="F223" s="344" t="s">
        <v>82</v>
      </c>
      <c r="G223" s="344" t="s">
        <v>82</v>
      </c>
      <c r="H223" s="344" t="s">
        <v>82</v>
      </c>
      <c r="I223" s="344" t="s">
        <v>82</v>
      </c>
      <c r="J223" s="344" t="s">
        <v>82</v>
      </c>
      <c r="K223" s="345" t="s">
        <v>82</v>
      </c>
      <c r="L223" s="345" t="s">
        <v>82</v>
      </c>
      <c r="M223" s="346" t="s">
        <v>83</v>
      </c>
      <c r="N223" s="346" t="s">
        <v>83</v>
      </c>
      <c r="O223" s="346" t="s">
        <v>83</v>
      </c>
      <c r="P223" s="346" t="s">
        <v>83</v>
      </c>
      <c r="Q223" s="346" t="s">
        <v>83</v>
      </c>
      <c r="R223" s="346" t="s">
        <v>83</v>
      </c>
      <c r="S223" s="346" t="s">
        <v>83</v>
      </c>
      <c r="T223" s="346" t="s">
        <v>83</v>
      </c>
      <c r="U223" s="346" t="s">
        <v>83</v>
      </c>
      <c r="V223" s="346" t="s">
        <v>83</v>
      </c>
      <c r="W223" s="346" t="s">
        <v>83</v>
      </c>
      <c r="X223" s="346" t="s">
        <v>83</v>
      </c>
      <c r="Y223" s="346" t="s">
        <v>83</v>
      </c>
      <c r="Z223" s="346" t="s">
        <v>83</v>
      </c>
      <c r="AA223" s="346" t="s">
        <v>83</v>
      </c>
      <c r="AB223" s="347" t="s">
        <v>83</v>
      </c>
    </row>
    <row r="224" spans="2:38" ht="68.25" thickBot="1">
      <c r="B224" s="348"/>
      <c r="C224" s="349"/>
      <c r="D224" s="350" t="s">
        <v>22</v>
      </c>
      <c r="E224" s="351" t="s">
        <v>23</v>
      </c>
      <c r="F224" s="351" t="s">
        <v>24</v>
      </c>
      <c r="G224" s="351" t="s">
        <v>39</v>
      </c>
      <c r="H224" s="351" t="s">
        <v>34</v>
      </c>
      <c r="I224" s="351" t="s">
        <v>33</v>
      </c>
      <c r="J224" s="351" t="s">
        <v>20</v>
      </c>
      <c r="K224" s="351" t="s">
        <v>56</v>
      </c>
      <c r="L224" s="351" t="s">
        <v>25</v>
      </c>
      <c r="M224" s="351" t="s">
        <v>40</v>
      </c>
      <c r="N224" s="351" t="s">
        <v>41</v>
      </c>
      <c r="O224" s="351" t="s">
        <v>42</v>
      </c>
      <c r="P224" s="351" t="s">
        <v>43</v>
      </c>
      <c r="Q224" s="351" t="s">
        <v>44</v>
      </c>
      <c r="R224" s="351" t="s">
        <v>45</v>
      </c>
      <c r="S224" s="351" t="s">
        <v>46</v>
      </c>
      <c r="T224" s="351" t="s">
        <v>47</v>
      </c>
      <c r="U224" s="351" t="s">
        <v>48</v>
      </c>
      <c r="V224" s="351" t="s">
        <v>49</v>
      </c>
      <c r="W224" s="351" t="s">
        <v>50</v>
      </c>
      <c r="X224" s="351" t="s">
        <v>51</v>
      </c>
      <c r="Y224" s="351" t="s">
        <v>52</v>
      </c>
      <c r="Z224" s="351" t="s">
        <v>53</v>
      </c>
      <c r="AA224" s="351" t="s">
        <v>54</v>
      </c>
      <c r="AB224" s="352" t="s">
        <v>55</v>
      </c>
      <c r="AC224" s="353" t="s">
        <v>259</v>
      </c>
      <c r="AD224" s="354" t="s">
        <v>260</v>
      </c>
      <c r="AE224" s="355" t="s">
        <v>261</v>
      </c>
      <c r="AF224" s="356" t="s">
        <v>262</v>
      </c>
      <c r="AG224" s="356" t="s">
        <v>263</v>
      </c>
      <c r="AH224" s="356" t="s">
        <v>264</v>
      </c>
      <c r="AI224" s="356" t="s">
        <v>265</v>
      </c>
      <c r="AJ224" s="356" t="s">
        <v>266</v>
      </c>
      <c r="AK224" s="356" t="s">
        <v>267</v>
      </c>
      <c r="AL224" s="425" t="s">
        <v>268</v>
      </c>
    </row>
    <row r="225" spans="2:38" ht="15.75" thickBot="1">
      <c r="B225" s="357" t="s">
        <v>21</v>
      </c>
      <c r="C225" s="411" t="s">
        <v>22</v>
      </c>
      <c r="D225" s="358">
        <v>1</v>
      </c>
      <c r="E225" s="359">
        <f t="shared" ref="E225:T225" si="85">IF($C$223="No",1,F145)</f>
        <v>1</v>
      </c>
      <c r="F225" s="359">
        <f t="shared" si="85"/>
        <v>1</v>
      </c>
      <c r="G225" s="359">
        <f t="shared" si="85"/>
        <v>1</v>
      </c>
      <c r="H225" s="359">
        <f t="shared" si="85"/>
        <v>1</v>
      </c>
      <c r="I225" s="359">
        <f t="shared" si="85"/>
        <v>1</v>
      </c>
      <c r="J225" s="359">
        <f t="shared" si="85"/>
        <v>1</v>
      </c>
      <c r="K225" s="359">
        <f t="shared" si="85"/>
        <v>1</v>
      </c>
      <c r="L225" s="359">
        <f t="shared" si="85"/>
        <v>1</v>
      </c>
      <c r="M225" s="359">
        <f t="shared" si="85"/>
        <v>1</v>
      </c>
      <c r="N225" s="359">
        <f t="shared" si="85"/>
        <v>1</v>
      </c>
      <c r="O225" s="359">
        <f t="shared" si="85"/>
        <v>1</v>
      </c>
      <c r="P225" s="359">
        <f t="shared" si="85"/>
        <v>1</v>
      </c>
      <c r="Q225" s="359">
        <f t="shared" si="85"/>
        <v>1</v>
      </c>
      <c r="R225" s="359">
        <f t="shared" si="85"/>
        <v>1</v>
      </c>
      <c r="S225" s="359">
        <f t="shared" si="85"/>
        <v>1</v>
      </c>
      <c r="T225" s="359">
        <f t="shared" si="85"/>
        <v>1</v>
      </c>
      <c r="U225" s="359">
        <f t="shared" ref="T225:AB234" si="86">IF($C$223="No",1,V145)</f>
        <v>1</v>
      </c>
      <c r="V225" s="359">
        <f t="shared" si="86"/>
        <v>1</v>
      </c>
      <c r="W225" s="359">
        <f t="shared" si="86"/>
        <v>1</v>
      </c>
      <c r="X225" s="359">
        <f t="shared" si="86"/>
        <v>1</v>
      </c>
      <c r="Y225" s="359">
        <f t="shared" si="86"/>
        <v>1</v>
      </c>
      <c r="Z225" s="359">
        <f t="shared" si="86"/>
        <v>1</v>
      </c>
      <c r="AA225" s="359">
        <f t="shared" si="86"/>
        <v>1</v>
      </c>
      <c r="AB225" s="360">
        <f t="shared" si="86"/>
        <v>1</v>
      </c>
      <c r="AC225" s="414">
        <f t="shared" ref="AC225:AC234" ca="1" si="87">SUMPRODUCT($D225:$AB225,$D$238:$AB$238*($D$223:$AB$223="Intra"))/SUMPRODUCT($D$238:$AB$238*($D$223:$AB$223="Intra"))</f>
        <v>1</v>
      </c>
      <c r="AD225" s="361">
        <f t="shared" ref="AD225:AD234" ca="1" si="88">SUMPRODUCT($D225:$AB225,$D$238:$AB$238*($D$223:$AB$223="Cross"))/SUMPRODUCT($D$238:$AB$238*($D$223:$AB$223="Cross"))</f>
        <v>1</v>
      </c>
      <c r="AE225" s="362">
        <f ca="1">D185</f>
        <v>4120916.0329999998</v>
      </c>
      <c r="AF225" s="363">
        <f ca="1">E185</f>
        <v>0</v>
      </c>
      <c r="AG225" s="363">
        <f ca="1">AE225+AF225</f>
        <v>4120916.0329999998</v>
      </c>
      <c r="AH225" s="363">
        <f ca="1">AG225-AI225</f>
        <v>1530779.8407291551</v>
      </c>
      <c r="AI225" s="363">
        <f ca="1">SUMIFS($D$238:$AB$238,$D$223:$AB$223,"Cross")*(AG225/SUM($AG$225:$AG$234))</f>
        <v>2590136.1922708447</v>
      </c>
      <c r="AJ225" s="364">
        <f ca="1">AH225*AC225</f>
        <v>1530779.8407291551</v>
      </c>
      <c r="AK225" s="426">
        <f ca="1">AI225*AD225</f>
        <v>2590136.1922708447</v>
      </c>
      <c r="AL225" s="429">
        <f ca="1">OFFSET(Tariff_SimCalculation!$O$27,,$C$181-rpm_start_year)</f>
        <v>5.4088939606380462E-2</v>
      </c>
    </row>
    <row r="226" spans="2:38" ht="15.75" thickBot="1">
      <c r="B226" s="365" t="s">
        <v>21</v>
      </c>
      <c r="C226" s="412" t="s">
        <v>23</v>
      </c>
      <c r="D226" s="366">
        <f t="shared" ref="D226:S234" si="89">IF($C$223="No",1,E146)</f>
        <v>1</v>
      </c>
      <c r="E226" s="367">
        <v>1</v>
      </c>
      <c r="F226" s="367">
        <f t="shared" si="89"/>
        <v>1</v>
      </c>
      <c r="G226" s="367">
        <f t="shared" si="89"/>
        <v>1</v>
      </c>
      <c r="H226" s="367">
        <f t="shared" si="89"/>
        <v>1</v>
      </c>
      <c r="I226" s="367">
        <f t="shared" si="89"/>
        <v>1</v>
      </c>
      <c r="J226" s="367">
        <f t="shared" si="89"/>
        <v>1</v>
      </c>
      <c r="K226" s="367">
        <f t="shared" si="89"/>
        <v>1</v>
      </c>
      <c r="L226" s="367">
        <f t="shared" si="89"/>
        <v>1</v>
      </c>
      <c r="M226" s="367">
        <f t="shared" si="89"/>
        <v>1</v>
      </c>
      <c r="N226" s="367">
        <f t="shared" si="89"/>
        <v>1</v>
      </c>
      <c r="O226" s="367">
        <f t="shared" si="89"/>
        <v>1</v>
      </c>
      <c r="P226" s="367">
        <f t="shared" si="89"/>
        <v>1</v>
      </c>
      <c r="Q226" s="367">
        <f t="shared" si="89"/>
        <v>1</v>
      </c>
      <c r="R226" s="367">
        <f t="shared" si="89"/>
        <v>1</v>
      </c>
      <c r="S226" s="367">
        <f t="shared" si="89"/>
        <v>1</v>
      </c>
      <c r="T226" s="367">
        <f t="shared" si="86"/>
        <v>1</v>
      </c>
      <c r="U226" s="367">
        <f t="shared" si="86"/>
        <v>1</v>
      </c>
      <c r="V226" s="367">
        <f t="shared" si="86"/>
        <v>1</v>
      </c>
      <c r="W226" s="367">
        <f t="shared" si="86"/>
        <v>1</v>
      </c>
      <c r="X226" s="367">
        <f t="shared" si="86"/>
        <v>1</v>
      </c>
      <c r="Y226" s="367">
        <f t="shared" si="86"/>
        <v>1</v>
      </c>
      <c r="Z226" s="367">
        <f t="shared" si="86"/>
        <v>1</v>
      </c>
      <c r="AA226" s="367">
        <f t="shared" si="86"/>
        <v>1</v>
      </c>
      <c r="AB226" s="368">
        <f t="shared" si="86"/>
        <v>1</v>
      </c>
      <c r="AC226" s="370">
        <f t="shared" ca="1" si="87"/>
        <v>1</v>
      </c>
      <c r="AD226" s="369">
        <f t="shared" ca="1" si="88"/>
        <v>1</v>
      </c>
      <c r="AE226" s="362">
        <f t="shared" ref="AE226:AF235" ca="1" si="90">D186</f>
        <v>60068188.115999997</v>
      </c>
      <c r="AF226" s="363">
        <f t="shared" si="90"/>
        <v>0</v>
      </c>
      <c r="AG226" s="32">
        <f t="shared" ref="AG226:AG234" ca="1" si="91">AE226+AF226</f>
        <v>60068188.115999997</v>
      </c>
      <c r="AH226" s="32">
        <f t="shared" ref="AH226:AH233" ca="1" si="92">AG226-AI226</f>
        <v>22313284.401031472</v>
      </c>
      <c r="AI226" s="32">
        <f t="shared" ref="AI226:AI234" ca="1" si="93">SUMIFS($D$238:$AB$238,$D$223:$AB$223,"Cross")*AG226/SUM($AG$225:$AG$234)</f>
        <v>37754903.714968525</v>
      </c>
      <c r="AJ226" s="31">
        <f t="shared" ref="AJ226:AK234" ca="1" si="94">AH226*AC226</f>
        <v>22313284.401031472</v>
      </c>
      <c r="AK226" s="242">
        <f t="shared" ca="1" si="94"/>
        <v>37754903.714968525</v>
      </c>
      <c r="AL226" s="429">
        <f ca="1">OFFSET(Tariff_SimCalculation!$O$27,,$C$181-rpm_start_year)</f>
        <v>5.4088939606380462E-2</v>
      </c>
    </row>
    <row r="227" spans="2:38" ht="15.75" thickBot="1">
      <c r="B227" s="365" t="s">
        <v>21</v>
      </c>
      <c r="C227" s="412" t="s">
        <v>24</v>
      </c>
      <c r="D227" s="366">
        <f t="shared" si="89"/>
        <v>1</v>
      </c>
      <c r="E227" s="367">
        <f t="shared" si="89"/>
        <v>1</v>
      </c>
      <c r="F227" s="367">
        <v>1</v>
      </c>
      <c r="G227" s="367">
        <f t="shared" si="89"/>
        <v>1</v>
      </c>
      <c r="H227" s="367">
        <f t="shared" si="89"/>
        <v>1</v>
      </c>
      <c r="I227" s="367">
        <f t="shared" si="89"/>
        <v>1</v>
      </c>
      <c r="J227" s="367">
        <f t="shared" si="89"/>
        <v>1</v>
      </c>
      <c r="K227" s="367">
        <f t="shared" si="89"/>
        <v>1</v>
      </c>
      <c r="L227" s="367">
        <f t="shared" si="89"/>
        <v>1</v>
      </c>
      <c r="M227" s="367">
        <f t="shared" si="89"/>
        <v>1</v>
      </c>
      <c r="N227" s="367">
        <f t="shared" si="89"/>
        <v>1</v>
      </c>
      <c r="O227" s="367">
        <f t="shared" si="89"/>
        <v>1</v>
      </c>
      <c r="P227" s="367">
        <f t="shared" si="89"/>
        <v>1</v>
      </c>
      <c r="Q227" s="367">
        <f t="shared" si="89"/>
        <v>1</v>
      </c>
      <c r="R227" s="367">
        <f t="shared" si="89"/>
        <v>1</v>
      </c>
      <c r="S227" s="367">
        <f t="shared" si="89"/>
        <v>1</v>
      </c>
      <c r="T227" s="367">
        <f t="shared" si="86"/>
        <v>1</v>
      </c>
      <c r="U227" s="367">
        <f t="shared" si="86"/>
        <v>1</v>
      </c>
      <c r="V227" s="367">
        <f t="shared" si="86"/>
        <v>1</v>
      </c>
      <c r="W227" s="367">
        <f t="shared" si="86"/>
        <v>1</v>
      </c>
      <c r="X227" s="367">
        <f t="shared" si="86"/>
        <v>1</v>
      </c>
      <c r="Y227" s="367">
        <f t="shared" si="86"/>
        <v>1</v>
      </c>
      <c r="Z227" s="367">
        <f t="shared" si="86"/>
        <v>1</v>
      </c>
      <c r="AA227" s="367">
        <f t="shared" si="86"/>
        <v>1</v>
      </c>
      <c r="AB227" s="368">
        <f t="shared" si="86"/>
        <v>1</v>
      </c>
      <c r="AC227" s="370">
        <f t="shared" ca="1" si="87"/>
        <v>1</v>
      </c>
      <c r="AD227" s="369">
        <f t="shared" ca="1" si="88"/>
        <v>1</v>
      </c>
      <c r="AE227" s="362">
        <f t="shared" ca="1" si="90"/>
        <v>7165934.04</v>
      </c>
      <c r="AF227" s="363">
        <f t="shared" si="90"/>
        <v>0</v>
      </c>
      <c r="AG227" s="32">
        <f t="shared" ca="1" si="91"/>
        <v>7165934.04</v>
      </c>
      <c r="AH227" s="32">
        <f t="shared" ca="1" si="92"/>
        <v>2661900.2378558852</v>
      </c>
      <c r="AI227" s="32">
        <f t="shared" ca="1" si="93"/>
        <v>4504033.8021441149</v>
      </c>
      <c r="AJ227" s="31">
        <f t="shared" ca="1" si="94"/>
        <v>2661900.2378558852</v>
      </c>
      <c r="AK227" s="242">
        <f t="shared" ca="1" si="94"/>
        <v>4504033.8021441149</v>
      </c>
      <c r="AL227" s="429">
        <f ca="1">OFFSET(Tariff_SimCalculation!$O$27,,$C$181-rpm_start_year)</f>
        <v>5.4088939606380462E-2</v>
      </c>
    </row>
    <row r="228" spans="2:38" ht="15.75" thickBot="1">
      <c r="B228" s="365" t="s">
        <v>21</v>
      </c>
      <c r="C228" s="412" t="s">
        <v>39</v>
      </c>
      <c r="D228" s="366">
        <f t="shared" si="89"/>
        <v>1</v>
      </c>
      <c r="E228" s="367">
        <f t="shared" si="89"/>
        <v>1</v>
      </c>
      <c r="F228" s="367">
        <f t="shared" si="89"/>
        <v>1</v>
      </c>
      <c r="G228" s="367">
        <v>1</v>
      </c>
      <c r="H228" s="367">
        <f t="shared" si="89"/>
        <v>1</v>
      </c>
      <c r="I228" s="367">
        <f t="shared" si="89"/>
        <v>1</v>
      </c>
      <c r="J228" s="367">
        <f t="shared" si="89"/>
        <v>1</v>
      </c>
      <c r="K228" s="367">
        <f t="shared" si="89"/>
        <v>1</v>
      </c>
      <c r="L228" s="367">
        <f t="shared" si="89"/>
        <v>1</v>
      </c>
      <c r="M228" s="367">
        <f t="shared" si="89"/>
        <v>1</v>
      </c>
      <c r="N228" s="367">
        <f t="shared" si="89"/>
        <v>1</v>
      </c>
      <c r="O228" s="367">
        <f t="shared" si="89"/>
        <v>1</v>
      </c>
      <c r="P228" s="367">
        <f t="shared" si="89"/>
        <v>1</v>
      </c>
      <c r="Q228" s="367">
        <f t="shared" si="89"/>
        <v>1</v>
      </c>
      <c r="R228" s="367">
        <f t="shared" si="89"/>
        <v>1</v>
      </c>
      <c r="S228" s="367">
        <f t="shared" si="89"/>
        <v>1</v>
      </c>
      <c r="T228" s="367">
        <f t="shared" si="86"/>
        <v>1</v>
      </c>
      <c r="U228" s="367">
        <f t="shared" si="86"/>
        <v>1</v>
      </c>
      <c r="V228" s="367">
        <f t="shared" si="86"/>
        <v>1</v>
      </c>
      <c r="W228" s="367">
        <f t="shared" si="86"/>
        <v>1</v>
      </c>
      <c r="X228" s="367">
        <f t="shared" si="86"/>
        <v>1</v>
      </c>
      <c r="Y228" s="367">
        <f t="shared" si="86"/>
        <v>1</v>
      </c>
      <c r="Z228" s="367">
        <f t="shared" si="86"/>
        <v>1</v>
      </c>
      <c r="AA228" s="367">
        <f t="shared" si="86"/>
        <v>1</v>
      </c>
      <c r="AB228" s="368">
        <f t="shared" si="86"/>
        <v>1</v>
      </c>
      <c r="AC228" s="370">
        <f t="shared" ca="1" si="87"/>
        <v>1</v>
      </c>
      <c r="AD228" s="369">
        <f t="shared" ca="1" si="88"/>
        <v>1</v>
      </c>
      <c r="AE228" s="362">
        <f t="shared" si="90"/>
        <v>0</v>
      </c>
      <c r="AF228" s="363">
        <f t="shared" si="90"/>
        <v>0</v>
      </c>
      <c r="AG228" s="32">
        <f>AE228+AF228</f>
        <v>0</v>
      </c>
      <c r="AH228" s="32">
        <f t="shared" ca="1" si="92"/>
        <v>0</v>
      </c>
      <c r="AI228" s="32">
        <f t="shared" ca="1" si="93"/>
        <v>0</v>
      </c>
      <c r="AJ228" s="31">
        <f t="shared" ca="1" si="94"/>
        <v>0</v>
      </c>
      <c r="AK228" s="242">
        <f t="shared" ca="1" si="94"/>
        <v>0</v>
      </c>
      <c r="AL228" s="429">
        <f ca="1">OFFSET(Tariff_SimCalculation!$O$27,,$C$181-rpm_start_year)</f>
        <v>5.4088939606380462E-2</v>
      </c>
    </row>
    <row r="229" spans="2:38" ht="15.75" thickBot="1">
      <c r="B229" s="365" t="s">
        <v>21</v>
      </c>
      <c r="C229" s="412" t="s">
        <v>34</v>
      </c>
      <c r="D229" s="366">
        <f t="shared" si="89"/>
        <v>1</v>
      </c>
      <c r="E229" s="367">
        <f t="shared" si="89"/>
        <v>1</v>
      </c>
      <c r="F229" s="367">
        <f t="shared" si="89"/>
        <v>1</v>
      </c>
      <c r="G229" s="367">
        <f t="shared" si="89"/>
        <v>1</v>
      </c>
      <c r="H229" s="367">
        <v>1</v>
      </c>
      <c r="I229" s="367">
        <f t="shared" si="89"/>
        <v>1</v>
      </c>
      <c r="J229" s="367">
        <f t="shared" si="89"/>
        <v>1</v>
      </c>
      <c r="K229" s="367">
        <f t="shared" si="89"/>
        <v>1</v>
      </c>
      <c r="L229" s="367">
        <f t="shared" si="89"/>
        <v>1</v>
      </c>
      <c r="M229" s="367">
        <f t="shared" si="89"/>
        <v>1</v>
      </c>
      <c r="N229" s="367">
        <f t="shared" si="89"/>
        <v>1</v>
      </c>
      <c r="O229" s="367">
        <f t="shared" si="89"/>
        <v>1</v>
      </c>
      <c r="P229" s="367">
        <f t="shared" si="89"/>
        <v>1</v>
      </c>
      <c r="Q229" s="367">
        <f t="shared" si="89"/>
        <v>1</v>
      </c>
      <c r="R229" s="367">
        <f t="shared" si="89"/>
        <v>1</v>
      </c>
      <c r="S229" s="367">
        <f t="shared" si="89"/>
        <v>1</v>
      </c>
      <c r="T229" s="367">
        <f t="shared" si="86"/>
        <v>1</v>
      </c>
      <c r="U229" s="367">
        <f t="shared" si="86"/>
        <v>1</v>
      </c>
      <c r="V229" s="367">
        <f t="shared" si="86"/>
        <v>1</v>
      </c>
      <c r="W229" s="367">
        <f t="shared" si="86"/>
        <v>1</v>
      </c>
      <c r="X229" s="367">
        <f t="shared" si="86"/>
        <v>1</v>
      </c>
      <c r="Y229" s="367">
        <f t="shared" si="86"/>
        <v>1</v>
      </c>
      <c r="Z229" s="367">
        <f t="shared" si="86"/>
        <v>1</v>
      </c>
      <c r="AA229" s="367">
        <f t="shared" si="86"/>
        <v>1</v>
      </c>
      <c r="AB229" s="368">
        <f t="shared" si="86"/>
        <v>1</v>
      </c>
      <c r="AC229" s="370">
        <f t="shared" ca="1" si="87"/>
        <v>1</v>
      </c>
      <c r="AD229" s="369">
        <f t="shared" ca="1" si="88"/>
        <v>1</v>
      </c>
      <c r="AE229" s="362">
        <f t="shared" si="90"/>
        <v>0</v>
      </c>
      <c r="AF229" s="363">
        <f t="shared" si="90"/>
        <v>0</v>
      </c>
      <c r="AG229" s="32">
        <f>AE229+AF229</f>
        <v>0</v>
      </c>
      <c r="AH229" s="32">
        <f t="shared" ca="1" si="92"/>
        <v>0</v>
      </c>
      <c r="AI229" s="32">
        <f t="shared" ca="1" si="93"/>
        <v>0</v>
      </c>
      <c r="AJ229" s="31">
        <f t="shared" ca="1" si="94"/>
        <v>0</v>
      </c>
      <c r="AK229" s="242">
        <f t="shared" ca="1" si="94"/>
        <v>0</v>
      </c>
      <c r="AL229" s="429">
        <f ca="1">OFFSET(Tariff_SimCalculation!$O$27,,$C$181-rpm_start_year)</f>
        <v>5.4088939606380462E-2</v>
      </c>
    </row>
    <row r="230" spans="2:38" ht="15.75" thickBot="1">
      <c r="B230" s="365" t="s">
        <v>21</v>
      </c>
      <c r="C230" s="412" t="s">
        <v>33</v>
      </c>
      <c r="D230" s="366">
        <f t="shared" si="89"/>
        <v>1</v>
      </c>
      <c r="E230" s="367">
        <f t="shared" si="89"/>
        <v>1</v>
      </c>
      <c r="F230" s="367">
        <f t="shared" si="89"/>
        <v>1</v>
      </c>
      <c r="G230" s="367">
        <f t="shared" si="89"/>
        <v>1</v>
      </c>
      <c r="H230" s="367">
        <f t="shared" si="89"/>
        <v>1</v>
      </c>
      <c r="I230" s="367">
        <v>1</v>
      </c>
      <c r="J230" s="367">
        <f t="shared" si="89"/>
        <v>1</v>
      </c>
      <c r="K230" s="367">
        <f t="shared" si="89"/>
        <v>1</v>
      </c>
      <c r="L230" s="367">
        <f t="shared" si="89"/>
        <v>1</v>
      </c>
      <c r="M230" s="367">
        <f t="shared" si="89"/>
        <v>1</v>
      </c>
      <c r="N230" s="367">
        <f t="shared" si="89"/>
        <v>1</v>
      </c>
      <c r="O230" s="367">
        <f t="shared" si="89"/>
        <v>1</v>
      </c>
      <c r="P230" s="367">
        <f t="shared" si="89"/>
        <v>1</v>
      </c>
      <c r="Q230" s="367">
        <f t="shared" si="89"/>
        <v>1</v>
      </c>
      <c r="R230" s="367">
        <f t="shared" si="89"/>
        <v>1</v>
      </c>
      <c r="S230" s="367">
        <f t="shared" si="89"/>
        <v>1</v>
      </c>
      <c r="T230" s="367">
        <f t="shared" si="86"/>
        <v>1</v>
      </c>
      <c r="U230" s="367">
        <f t="shared" si="86"/>
        <v>1</v>
      </c>
      <c r="V230" s="367">
        <f t="shared" si="86"/>
        <v>1</v>
      </c>
      <c r="W230" s="367">
        <f t="shared" si="86"/>
        <v>1</v>
      </c>
      <c r="X230" s="367">
        <f t="shared" si="86"/>
        <v>1</v>
      </c>
      <c r="Y230" s="367">
        <f t="shared" si="86"/>
        <v>1</v>
      </c>
      <c r="Z230" s="367">
        <f t="shared" si="86"/>
        <v>1</v>
      </c>
      <c r="AA230" s="367">
        <f t="shared" si="86"/>
        <v>1</v>
      </c>
      <c r="AB230" s="368">
        <f t="shared" si="86"/>
        <v>1</v>
      </c>
      <c r="AC230" s="370">
        <f t="shared" ca="1" si="87"/>
        <v>1</v>
      </c>
      <c r="AD230" s="369">
        <f t="shared" ca="1" si="88"/>
        <v>1</v>
      </c>
      <c r="AE230" s="362">
        <f t="shared" si="90"/>
        <v>0</v>
      </c>
      <c r="AF230" s="363">
        <f t="shared" si="90"/>
        <v>0</v>
      </c>
      <c r="AG230" s="32">
        <f t="shared" si="91"/>
        <v>0</v>
      </c>
      <c r="AH230" s="32">
        <f t="shared" ca="1" si="92"/>
        <v>0</v>
      </c>
      <c r="AI230" s="32">
        <f t="shared" ca="1" si="93"/>
        <v>0</v>
      </c>
      <c r="AJ230" s="31">
        <f t="shared" ca="1" si="94"/>
        <v>0</v>
      </c>
      <c r="AK230" s="242">
        <f t="shared" ca="1" si="94"/>
        <v>0</v>
      </c>
      <c r="AL230" s="429">
        <f ca="1">OFFSET(Tariff_SimCalculation!$O$27,,$C$181-rpm_start_year)</f>
        <v>5.4088939606380462E-2</v>
      </c>
    </row>
    <row r="231" spans="2:38" ht="15.75" thickBot="1">
      <c r="B231" s="365" t="s">
        <v>21</v>
      </c>
      <c r="C231" s="412" t="s">
        <v>20</v>
      </c>
      <c r="D231" s="366">
        <f t="shared" si="89"/>
        <v>1</v>
      </c>
      <c r="E231" s="367">
        <f t="shared" si="89"/>
        <v>1</v>
      </c>
      <c r="F231" s="367">
        <f t="shared" si="89"/>
        <v>1</v>
      </c>
      <c r="G231" s="367">
        <f t="shared" si="89"/>
        <v>1</v>
      </c>
      <c r="H231" s="367">
        <f t="shared" si="89"/>
        <v>1</v>
      </c>
      <c r="I231" s="367">
        <f t="shared" si="89"/>
        <v>1</v>
      </c>
      <c r="J231" s="367">
        <v>1</v>
      </c>
      <c r="K231" s="367">
        <f t="shared" si="89"/>
        <v>1</v>
      </c>
      <c r="L231" s="367">
        <f t="shared" si="89"/>
        <v>1</v>
      </c>
      <c r="M231" s="367">
        <f t="shared" si="89"/>
        <v>1</v>
      </c>
      <c r="N231" s="367">
        <f t="shared" si="89"/>
        <v>1</v>
      </c>
      <c r="O231" s="367">
        <f t="shared" si="89"/>
        <v>1</v>
      </c>
      <c r="P231" s="367">
        <f t="shared" si="89"/>
        <v>1</v>
      </c>
      <c r="Q231" s="367">
        <f t="shared" si="89"/>
        <v>1</v>
      </c>
      <c r="R231" s="367">
        <f t="shared" si="89"/>
        <v>1</v>
      </c>
      <c r="S231" s="367">
        <f t="shared" si="89"/>
        <v>1</v>
      </c>
      <c r="T231" s="367">
        <f t="shared" si="86"/>
        <v>1</v>
      </c>
      <c r="U231" s="367">
        <f t="shared" si="86"/>
        <v>1</v>
      </c>
      <c r="V231" s="367">
        <f t="shared" si="86"/>
        <v>1</v>
      </c>
      <c r="W231" s="367">
        <f t="shared" si="86"/>
        <v>1</v>
      </c>
      <c r="X231" s="367">
        <f t="shared" si="86"/>
        <v>1</v>
      </c>
      <c r="Y231" s="367">
        <f t="shared" si="86"/>
        <v>1</v>
      </c>
      <c r="Z231" s="367">
        <f t="shared" si="86"/>
        <v>1</v>
      </c>
      <c r="AA231" s="367">
        <f t="shared" si="86"/>
        <v>1</v>
      </c>
      <c r="AB231" s="368">
        <f t="shared" si="86"/>
        <v>1</v>
      </c>
      <c r="AC231" s="370">
        <f t="shared" ca="1" si="87"/>
        <v>1</v>
      </c>
      <c r="AD231" s="369">
        <f t="shared" ca="1" si="88"/>
        <v>1</v>
      </c>
      <c r="AE231" s="362">
        <f t="shared" si="90"/>
        <v>0</v>
      </c>
      <c r="AF231" s="363">
        <f t="shared" ca="1" si="90"/>
        <v>10071000</v>
      </c>
      <c r="AG231" s="32">
        <f t="shared" ca="1" si="91"/>
        <v>10071000</v>
      </c>
      <c r="AH231" s="32">
        <f t="shared" ca="1" si="92"/>
        <v>3741033.2199271293</v>
      </c>
      <c r="AI231" s="32">
        <f t="shared" ca="1" si="93"/>
        <v>6329966.7800728707</v>
      </c>
      <c r="AJ231" s="31">
        <f t="shared" ca="1" si="94"/>
        <v>3741033.2199271293</v>
      </c>
      <c r="AK231" s="242">
        <f t="shared" ca="1" si="94"/>
        <v>6329966.7800728707</v>
      </c>
      <c r="AL231" s="429">
        <f ca="1">OFFSET(Tariff_SimCalculation!$O$27,,$C$181-rpm_start_year)</f>
        <v>5.4088939606380462E-2</v>
      </c>
    </row>
    <row r="232" spans="2:38" ht="15.75" thickBot="1">
      <c r="B232" s="365" t="s">
        <v>21</v>
      </c>
      <c r="C232" s="412" t="s">
        <v>56</v>
      </c>
      <c r="D232" s="366">
        <f t="shared" si="89"/>
        <v>1</v>
      </c>
      <c r="E232" s="367">
        <f t="shared" si="89"/>
        <v>1</v>
      </c>
      <c r="F232" s="367">
        <f t="shared" si="89"/>
        <v>1</v>
      </c>
      <c r="G232" s="367">
        <f t="shared" si="89"/>
        <v>1</v>
      </c>
      <c r="H232" s="367">
        <f t="shared" si="89"/>
        <v>1</v>
      </c>
      <c r="I232" s="367">
        <f t="shared" si="89"/>
        <v>1</v>
      </c>
      <c r="J232" s="367">
        <f t="shared" si="89"/>
        <v>1</v>
      </c>
      <c r="K232" s="367">
        <v>1</v>
      </c>
      <c r="L232" s="367">
        <f t="shared" si="89"/>
        <v>1</v>
      </c>
      <c r="M232" s="367">
        <f t="shared" si="89"/>
        <v>1</v>
      </c>
      <c r="N232" s="367">
        <f t="shared" si="89"/>
        <v>1</v>
      </c>
      <c r="O232" s="367">
        <f t="shared" si="89"/>
        <v>1</v>
      </c>
      <c r="P232" s="367">
        <f t="shared" si="89"/>
        <v>1</v>
      </c>
      <c r="Q232" s="367">
        <f t="shared" si="89"/>
        <v>1</v>
      </c>
      <c r="R232" s="367">
        <f t="shared" si="89"/>
        <v>1</v>
      </c>
      <c r="S232" s="367">
        <f t="shared" si="89"/>
        <v>1</v>
      </c>
      <c r="T232" s="367">
        <f t="shared" si="86"/>
        <v>1</v>
      </c>
      <c r="U232" s="367">
        <f t="shared" si="86"/>
        <v>1</v>
      </c>
      <c r="V232" s="367">
        <f t="shared" si="86"/>
        <v>1</v>
      </c>
      <c r="W232" s="367">
        <f t="shared" si="86"/>
        <v>1</v>
      </c>
      <c r="X232" s="367">
        <f t="shared" si="86"/>
        <v>1</v>
      </c>
      <c r="Y232" s="367">
        <f t="shared" si="86"/>
        <v>1</v>
      </c>
      <c r="Z232" s="367">
        <f t="shared" si="86"/>
        <v>1</v>
      </c>
      <c r="AA232" s="367">
        <f t="shared" si="86"/>
        <v>1</v>
      </c>
      <c r="AB232" s="368">
        <f t="shared" si="86"/>
        <v>1</v>
      </c>
      <c r="AC232" s="370">
        <f t="shared" ca="1" si="87"/>
        <v>1</v>
      </c>
      <c r="AD232" s="369">
        <f t="shared" ca="1" si="88"/>
        <v>1</v>
      </c>
      <c r="AE232" s="362">
        <f t="shared" ca="1" si="90"/>
        <v>0</v>
      </c>
      <c r="AF232" s="363">
        <f t="shared" si="90"/>
        <v>0</v>
      </c>
      <c r="AG232" s="32">
        <f t="shared" ca="1" si="91"/>
        <v>0</v>
      </c>
      <c r="AH232" s="32">
        <f t="shared" ca="1" si="92"/>
        <v>0</v>
      </c>
      <c r="AI232" s="32">
        <f t="shared" ca="1" si="93"/>
        <v>0</v>
      </c>
      <c r="AJ232" s="31">
        <f t="shared" ca="1" si="94"/>
        <v>0</v>
      </c>
      <c r="AK232" s="242">
        <f t="shared" ca="1" si="94"/>
        <v>0</v>
      </c>
      <c r="AL232" s="429">
        <f ca="1">OFFSET(Tariff_SimCalculation!$O$27,,$C$181-rpm_start_year)</f>
        <v>5.4088939606380462E-2</v>
      </c>
    </row>
    <row r="233" spans="2:38" ht="15.75" thickBot="1">
      <c r="B233" s="365" t="s">
        <v>21</v>
      </c>
      <c r="C233" s="412" t="s">
        <v>25</v>
      </c>
      <c r="D233" s="366">
        <f t="shared" si="89"/>
        <v>1</v>
      </c>
      <c r="E233" s="367">
        <f t="shared" si="89"/>
        <v>1</v>
      </c>
      <c r="F233" s="367">
        <f t="shared" si="89"/>
        <v>1</v>
      </c>
      <c r="G233" s="367">
        <f t="shared" si="89"/>
        <v>1</v>
      </c>
      <c r="H233" s="367">
        <f t="shared" si="89"/>
        <v>1</v>
      </c>
      <c r="I233" s="367">
        <f t="shared" si="89"/>
        <v>1</v>
      </c>
      <c r="J233" s="367">
        <f t="shared" si="89"/>
        <v>1</v>
      </c>
      <c r="K233" s="367">
        <f t="shared" si="89"/>
        <v>1</v>
      </c>
      <c r="L233" s="367">
        <v>1</v>
      </c>
      <c r="M233" s="367">
        <f t="shared" si="89"/>
        <v>1</v>
      </c>
      <c r="N233" s="367">
        <f t="shared" si="89"/>
        <v>1</v>
      </c>
      <c r="O233" s="367">
        <f t="shared" si="89"/>
        <v>1</v>
      </c>
      <c r="P233" s="367">
        <f t="shared" si="89"/>
        <v>1</v>
      </c>
      <c r="Q233" s="367">
        <f t="shared" si="89"/>
        <v>1</v>
      </c>
      <c r="R233" s="367">
        <f t="shared" si="89"/>
        <v>1</v>
      </c>
      <c r="S233" s="367">
        <f t="shared" si="89"/>
        <v>1</v>
      </c>
      <c r="T233" s="367">
        <f t="shared" si="86"/>
        <v>1</v>
      </c>
      <c r="U233" s="367">
        <f t="shared" si="86"/>
        <v>1</v>
      </c>
      <c r="V233" s="367">
        <f t="shared" si="86"/>
        <v>1</v>
      </c>
      <c r="W233" s="367">
        <f t="shared" si="86"/>
        <v>1</v>
      </c>
      <c r="X233" s="367">
        <f t="shared" si="86"/>
        <v>1</v>
      </c>
      <c r="Y233" s="367">
        <f t="shared" si="86"/>
        <v>1</v>
      </c>
      <c r="Z233" s="367">
        <f t="shared" si="86"/>
        <v>1</v>
      </c>
      <c r="AA233" s="367">
        <f t="shared" si="86"/>
        <v>1</v>
      </c>
      <c r="AB233" s="368">
        <f t="shared" si="86"/>
        <v>1</v>
      </c>
      <c r="AC233" s="370">
        <f t="shared" ca="1" si="87"/>
        <v>1</v>
      </c>
      <c r="AD233" s="369">
        <f t="shared" ca="1" si="88"/>
        <v>1</v>
      </c>
      <c r="AE233" s="362">
        <f t="shared" ca="1" si="90"/>
        <v>14807971.364</v>
      </c>
      <c r="AF233" s="363">
        <f t="shared" si="90"/>
        <v>0</v>
      </c>
      <c r="AG233" s="32">
        <f t="shared" ca="1" si="91"/>
        <v>14807971.364</v>
      </c>
      <c r="AH233" s="32">
        <f t="shared" ca="1" si="92"/>
        <v>5500656.6172627993</v>
      </c>
      <c r="AI233" s="32">
        <f t="shared" ca="1" si="93"/>
        <v>9307314.7467372008</v>
      </c>
      <c r="AJ233" s="31">
        <f t="shared" ca="1" si="94"/>
        <v>5500656.6172627993</v>
      </c>
      <c r="AK233" s="242">
        <f t="shared" ca="1" si="94"/>
        <v>9307314.7467372008</v>
      </c>
      <c r="AL233" s="429">
        <f ca="1">OFFSET(Tariff_SimCalculation!$O$27,,$C$181-rpm_start_year)</f>
        <v>5.4088939606380462E-2</v>
      </c>
    </row>
    <row r="234" spans="2:38" ht="15.75" thickBot="1">
      <c r="B234" s="365" t="s">
        <v>21</v>
      </c>
      <c r="C234" s="413" t="s">
        <v>35</v>
      </c>
      <c r="D234" s="418">
        <f t="shared" si="89"/>
        <v>1</v>
      </c>
      <c r="E234" s="419">
        <f t="shared" si="89"/>
        <v>1</v>
      </c>
      <c r="F234" s="419">
        <f t="shared" si="89"/>
        <v>1</v>
      </c>
      <c r="G234" s="419">
        <f t="shared" si="89"/>
        <v>1</v>
      </c>
      <c r="H234" s="419">
        <f t="shared" si="89"/>
        <v>1</v>
      </c>
      <c r="I234" s="419">
        <f t="shared" si="89"/>
        <v>1</v>
      </c>
      <c r="J234" s="419">
        <f t="shared" si="89"/>
        <v>1</v>
      </c>
      <c r="K234" s="419">
        <f t="shared" si="89"/>
        <v>1</v>
      </c>
      <c r="L234" s="419">
        <f t="shared" si="89"/>
        <v>1</v>
      </c>
      <c r="M234" s="419">
        <v>1</v>
      </c>
      <c r="N234" s="419">
        <v>1</v>
      </c>
      <c r="O234" s="419">
        <v>1</v>
      </c>
      <c r="P234" s="419">
        <f t="shared" si="89"/>
        <v>1</v>
      </c>
      <c r="Q234" s="419">
        <f t="shared" si="89"/>
        <v>1</v>
      </c>
      <c r="R234" s="419">
        <f t="shared" si="89"/>
        <v>1</v>
      </c>
      <c r="S234" s="419">
        <f t="shared" si="89"/>
        <v>1</v>
      </c>
      <c r="T234" s="419">
        <f t="shared" si="86"/>
        <v>1</v>
      </c>
      <c r="U234" s="419">
        <f t="shared" si="86"/>
        <v>1</v>
      </c>
      <c r="V234" s="419">
        <f t="shared" si="86"/>
        <v>1</v>
      </c>
      <c r="W234" s="419">
        <f t="shared" si="86"/>
        <v>1</v>
      </c>
      <c r="X234" s="419">
        <f t="shared" si="86"/>
        <v>1</v>
      </c>
      <c r="Y234" s="419">
        <f t="shared" si="86"/>
        <v>1</v>
      </c>
      <c r="Z234" s="419">
        <f t="shared" si="86"/>
        <v>1</v>
      </c>
      <c r="AA234" s="419">
        <f t="shared" si="86"/>
        <v>1</v>
      </c>
      <c r="AB234" s="420">
        <f t="shared" si="86"/>
        <v>1</v>
      </c>
      <c r="AC234" s="370">
        <f t="shared" ca="1" si="87"/>
        <v>1</v>
      </c>
      <c r="AD234" s="369">
        <f t="shared" ca="1" si="88"/>
        <v>1</v>
      </c>
      <c r="AE234" s="362">
        <f t="shared" ca="1" si="90"/>
        <v>1839918.1040000001</v>
      </c>
      <c r="AF234" s="363">
        <f t="shared" si="90"/>
        <v>0</v>
      </c>
      <c r="AG234" s="32">
        <f t="shared" ca="1" si="91"/>
        <v>1839918.1040000001</v>
      </c>
      <c r="AH234" s="32">
        <f ca="1">AG234-AI234</f>
        <v>683466.86019355967</v>
      </c>
      <c r="AI234" s="32">
        <f t="shared" ca="1" si="93"/>
        <v>1156451.2438064404</v>
      </c>
      <c r="AJ234" s="31">
        <f t="shared" ca="1" si="94"/>
        <v>683466.86019355967</v>
      </c>
      <c r="AK234" s="242">
        <f t="shared" ca="1" si="94"/>
        <v>1156451.2438064404</v>
      </c>
      <c r="AL234" s="429">
        <f ca="1">OFFSET(Tariff_SimCalculation!$O$27,,$C$181-rpm_start_year)</f>
        <v>5.4088939606380462E-2</v>
      </c>
    </row>
    <row r="235" spans="2:38" ht="15.75" thickBot="1">
      <c r="B235" s="371"/>
      <c r="C235" s="372" t="s">
        <v>269</v>
      </c>
      <c r="D235" s="415">
        <f ca="1">SUMPRODUCT(D225:D234,$AG$225:$AG$234)/SUM($AG$225:$AG$234)</f>
        <v>1</v>
      </c>
      <c r="E235" s="416">
        <f t="shared" ref="E235:AA235" ca="1" si="95">SUMPRODUCT(E225:E234,$AG$225:$AG$234)/SUM($AG$225:$AG$234)</f>
        <v>1</v>
      </c>
      <c r="F235" s="416">
        <f t="shared" ca="1" si="95"/>
        <v>1</v>
      </c>
      <c r="G235" s="416">
        <f t="shared" ca="1" si="95"/>
        <v>1</v>
      </c>
      <c r="H235" s="416">
        <f t="shared" ca="1" si="95"/>
        <v>1</v>
      </c>
      <c r="I235" s="416">
        <f t="shared" ca="1" si="95"/>
        <v>1</v>
      </c>
      <c r="J235" s="416">
        <f t="shared" ca="1" si="95"/>
        <v>1</v>
      </c>
      <c r="K235" s="416">
        <f t="shared" ca="1" si="95"/>
        <v>1</v>
      </c>
      <c r="L235" s="416">
        <f t="shared" ca="1" si="95"/>
        <v>1</v>
      </c>
      <c r="M235" s="416">
        <f t="shared" ca="1" si="95"/>
        <v>1</v>
      </c>
      <c r="N235" s="416">
        <f t="shared" ca="1" si="95"/>
        <v>1</v>
      </c>
      <c r="O235" s="416">
        <f t="shared" ca="1" si="95"/>
        <v>1</v>
      </c>
      <c r="P235" s="416">
        <f t="shared" ca="1" si="95"/>
        <v>1</v>
      </c>
      <c r="Q235" s="416">
        <f t="shared" ca="1" si="95"/>
        <v>1</v>
      </c>
      <c r="R235" s="416">
        <f t="shared" ca="1" si="95"/>
        <v>1</v>
      </c>
      <c r="S235" s="416">
        <f t="shared" ca="1" si="95"/>
        <v>1</v>
      </c>
      <c r="T235" s="416">
        <f t="shared" ca="1" si="95"/>
        <v>1</v>
      </c>
      <c r="U235" s="416">
        <f t="shared" ca="1" si="95"/>
        <v>1</v>
      </c>
      <c r="V235" s="416">
        <f t="shared" ca="1" si="95"/>
        <v>1</v>
      </c>
      <c r="W235" s="416">
        <f t="shared" ca="1" si="95"/>
        <v>1</v>
      </c>
      <c r="X235" s="416">
        <f t="shared" ca="1" si="95"/>
        <v>1</v>
      </c>
      <c r="Y235" s="416">
        <f t="shared" ca="1" si="95"/>
        <v>1</v>
      </c>
      <c r="Z235" s="416">
        <f t="shared" ca="1" si="95"/>
        <v>1</v>
      </c>
      <c r="AA235" s="416">
        <f t="shared" ca="1" si="95"/>
        <v>1</v>
      </c>
      <c r="AB235" s="417">
        <f ca="1">SUMPRODUCT(AB225:AB234,$AG$225:$AG$234)/SUM($AG$225:$AG$234)</f>
        <v>1</v>
      </c>
      <c r="AC235" s="373"/>
      <c r="AD235" s="374"/>
      <c r="AE235" s="362">
        <f t="shared" ca="1" si="90"/>
        <v>0</v>
      </c>
      <c r="AF235" s="363">
        <f t="shared" si="90"/>
        <v>0</v>
      </c>
      <c r="AG235" s="375"/>
      <c r="AH235" s="375"/>
      <c r="AI235" s="375"/>
      <c r="AJ235" s="375"/>
      <c r="AK235" s="375"/>
      <c r="AL235" s="427"/>
    </row>
    <row r="236" spans="2:38">
      <c r="B236" s="357" t="s">
        <v>261</v>
      </c>
      <c r="C236" s="361" t="s">
        <v>270</v>
      </c>
      <c r="D236" s="376">
        <f t="array" ref="D236:AB236" ca="1">TRANSPOSE($D$195:$D$219)</f>
        <v>0</v>
      </c>
      <c r="E236" s="376">
        <f ca="1"/>
        <v>0</v>
      </c>
      <c r="F236" s="376">
        <f ca="1"/>
        <v>0</v>
      </c>
      <c r="G236" s="376">
        <f ca="1"/>
        <v>23499000</v>
      </c>
      <c r="H236" s="376">
        <f ca="1"/>
        <v>0</v>
      </c>
      <c r="I236" s="376">
        <f ca="1"/>
        <v>6550835.1160000004</v>
      </c>
      <c r="J236" s="376">
        <v>0</v>
      </c>
      <c r="K236" s="376">
        <f ca="1"/>
        <v>0</v>
      </c>
      <c r="L236" s="376">
        <f ca="1"/>
        <v>14807971.364</v>
      </c>
      <c r="M236" s="376">
        <f ca="1"/>
        <v>10342766.256322246</v>
      </c>
      <c r="N236" s="376">
        <f ca="1"/>
        <v>0</v>
      </c>
      <c r="O236" s="376">
        <f ca="1"/>
        <v>0</v>
      </c>
      <c r="P236" s="376">
        <f ca="1"/>
        <v>0</v>
      </c>
      <c r="Q236" s="376">
        <f ca="1"/>
        <v>5307145.0307093691</v>
      </c>
      <c r="R236" s="376">
        <f ca="1"/>
        <v>0</v>
      </c>
      <c r="S236" s="376">
        <f ca="1"/>
        <v>47797388.712968387</v>
      </c>
      <c r="T236" s="376">
        <v>0</v>
      </c>
      <c r="U236" s="376">
        <v>0</v>
      </c>
      <c r="V236" s="376">
        <v>0</v>
      </c>
      <c r="W236" s="376">
        <v>0</v>
      </c>
      <c r="X236" s="376">
        <v>0</v>
      </c>
      <c r="Y236" s="376">
        <v>0</v>
      </c>
      <c r="Z236" s="376">
        <v>0</v>
      </c>
      <c r="AA236" s="376">
        <v>0</v>
      </c>
      <c r="AB236" s="376">
        <v>0</v>
      </c>
    </row>
    <row r="237" spans="2:38" ht="15.75" thickBot="1">
      <c r="B237" s="377" t="s">
        <v>262</v>
      </c>
      <c r="C237" s="374" t="s">
        <v>270</v>
      </c>
      <c r="D237" s="378">
        <f t="array" ref="D237:AB237">TRANSPOSE($E$195:$E$219)</f>
        <v>0</v>
      </c>
      <c r="E237" s="378">
        <v>0</v>
      </c>
      <c r="F237" s="378">
        <v>0</v>
      </c>
      <c r="G237" s="378">
        <v>0</v>
      </c>
      <c r="H237" s="378">
        <v>0</v>
      </c>
      <c r="I237" s="378">
        <v>0</v>
      </c>
      <c r="J237" s="378">
        <f ca="1"/>
        <v>16785000</v>
      </c>
      <c r="K237" s="378">
        <v>0</v>
      </c>
      <c r="L237" s="378">
        <v>0</v>
      </c>
      <c r="M237" s="378">
        <v>0</v>
      </c>
      <c r="N237" s="378">
        <v>0</v>
      </c>
      <c r="O237" s="378">
        <v>0</v>
      </c>
      <c r="P237" s="378">
        <v>0</v>
      </c>
      <c r="Q237" s="378">
        <v>0</v>
      </c>
      <c r="R237" s="378">
        <v>0</v>
      </c>
      <c r="S237" s="378">
        <v>0</v>
      </c>
      <c r="T237" s="378">
        <f ca="1"/>
        <v>2186104.8793942709</v>
      </c>
      <c r="U237" s="378">
        <f ca="1"/>
        <v>327926.64765303035</v>
      </c>
      <c r="V237" s="378">
        <f ca="1"/>
        <v>435526.38039500383</v>
      </c>
      <c r="W237" s="378">
        <f ca="1"/>
        <v>3840262.9408351826</v>
      </c>
      <c r="X237" s="378">
        <f ca="1"/>
        <v>217244.93821282857</v>
      </c>
      <c r="Y237" s="378">
        <f ca="1"/>
        <v>108612.63510291005</v>
      </c>
      <c r="Z237" s="378">
        <f ca="1"/>
        <v>43312.885034067054</v>
      </c>
      <c r="AA237" s="378">
        <f ca="1"/>
        <v>216519.18875421581</v>
      </c>
      <c r="AB237" s="378">
        <f ca="1"/>
        <v>559631.50461849093</v>
      </c>
    </row>
    <row r="238" spans="2:38" ht="15.75" thickBot="1">
      <c r="B238" s="379" t="s">
        <v>263</v>
      </c>
      <c r="C238" s="380" t="s">
        <v>270</v>
      </c>
      <c r="D238" s="381">
        <f t="shared" ref="D238:AB238" ca="1" si="96">D236+D237</f>
        <v>0</v>
      </c>
      <c r="E238" s="382">
        <f t="shared" ca="1" si="96"/>
        <v>0</v>
      </c>
      <c r="F238" s="382">
        <f t="shared" ca="1" si="96"/>
        <v>0</v>
      </c>
      <c r="G238" s="382">
        <f t="shared" ca="1" si="96"/>
        <v>23499000</v>
      </c>
      <c r="H238" s="382">
        <f t="shared" ca="1" si="96"/>
        <v>0</v>
      </c>
      <c r="I238" s="382">
        <f t="shared" ca="1" si="96"/>
        <v>6550835.1160000004</v>
      </c>
      <c r="J238" s="382">
        <f t="shared" ca="1" si="96"/>
        <v>16785000</v>
      </c>
      <c r="K238" s="382">
        <f t="shared" ca="1" si="96"/>
        <v>0</v>
      </c>
      <c r="L238" s="382">
        <f t="shared" ca="1" si="96"/>
        <v>14807971.364</v>
      </c>
      <c r="M238" s="382">
        <f t="shared" ca="1" si="96"/>
        <v>10342766.256322246</v>
      </c>
      <c r="N238" s="382">
        <f t="shared" ca="1" si="96"/>
        <v>0</v>
      </c>
      <c r="O238" s="382">
        <f t="shared" ca="1" si="96"/>
        <v>0</v>
      </c>
      <c r="P238" s="382">
        <f t="shared" ca="1" si="96"/>
        <v>0</v>
      </c>
      <c r="Q238" s="382">
        <f t="shared" ca="1" si="96"/>
        <v>5307145.0307093691</v>
      </c>
      <c r="R238" s="382">
        <f t="shared" ca="1" si="96"/>
        <v>0</v>
      </c>
      <c r="S238" s="382">
        <f t="shared" ca="1" si="96"/>
        <v>47797388.712968387</v>
      </c>
      <c r="T238" s="382">
        <f t="shared" ca="1" si="96"/>
        <v>2186104.8793942709</v>
      </c>
      <c r="U238" s="382">
        <f t="shared" ca="1" si="96"/>
        <v>327926.64765303035</v>
      </c>
      <c r="V238" s="382">
        <f t="shared" ca="1" si="96"/>
        <v>435526.38039500383</v>
      </c>
      <c r="W238" s="382">
        <f t="shared" ca="1" si="96"/>
        <v>3840262.9408351826</v>
      </c>
      <c r="X238" s="382">
        <f t="shared" ca="1" si="96"/>
        <v>217244.93821282857</v>
      </c>
      <c r="Y238" s="382">
        <f t="shared" ca="1" si="96"/>
        <v>108612.63510291005</v>
      </c>
      <c r="Z238" s="382">
        <f t="shared" ca="1" si="96"/>
        <v>43312.885034067054</v>
      </c>
      <c r="AA238" s="382">
        <f t="shared" ca="1" si="96"/>
        <v>216519.18875421581</v>
      </c>
      <c r="AB238" s="383">
        <f t="shared" ca="1" si="96"/>
        <v>559631.50461849093</v>
      </c>
    </row>
    <row r="239" spans="2:38" ht="15.75" thickBot="1">
      <c r="B239" s="384" t="s">
        <v>271</v>
      </c>
      <c r="C239" s="385" t="str">
        <f>"in kWh/a "&amp;IF(C223="Yes","*km","")</f>
        <v xml:space="preserve">in kWh/a </v>
      </c>
      <c r="D239" s="422">
        <f ca="1">D238*D235</f>
        <v>0</v>
      </c>
      <c r="E239" s="423">
        <f ca="1">E238*E235</f>
        <v>0</v>
      </c>
      <c r="F239" s="423">
        <f ca="1">F238*F235</f>
        <v>0</v>
      </c>
      <c r="G239" s="423">
        <f ca="1">G238*G235</f>
        <v>23499000</v>
      </c>
      <c r="H239" s="423">
        <f ca="1">H238*H235</f>
        <v>0</v>
      </c>
      <c r="I239" s="423">
        <f t="shared" ref="I239:AB239" ca="1" si="97">I238*I235</f>
        <v>6550835.1160000004</v>
      </c>
      <c r="J239" s="423">
        <f t="shared" ca="1" si="97"/>
        <v>16785000</v>
      </c>
      <c r="K239" s="423">
        <f t="shared" ca="1" si="97"/>
        <v>0</v>
      </c>
      <c r="L239" s="423">
        <f t="shared" ca="1" si="97"/>
        <v>14807971.364</v>
      </c>
      <c r="M239" s="423">
        <f t="shared" ca="1" si="97"/>
        <v>10342766.256322246</v>
      </c>
      <c r="N239" s="423">
        <f t="shared" ca="1" si="97"/>
        <v>0</v>
      </c>
      <c r="O239" s="423">
        <f t="shared" ca="1" si="97"/>
        <v>0</v>
      </c>
      <c r="P239" s="423">
        <f t="shared" ca="1" si="97"/>
        <v>0</v>
      </c>
      <c r="Q239" s="423">
        <f t="shared" ca="1" si="97"/>
        <v>5307145.0307093691</v>
      </c>
      <c r="R239" s="423">
        <f t="shared" ca="1" si="97"/>
        <v>0</v>
      </c>
      <c r="S239" s="423">
        <f t="shared" ca="1" si="97"/>
        <v>47797388.712968387</v>
      </c>
      <c r="T239" s="423">
        <f t="shared" ca="1" si="97"/>
        <v>2186104.8793942709</v>
      </c>
      <c r="U239" s="423">
        <f t="shared" ca="1" si="97"/>
        <v>327926.64765303035</v>
      </c>
      <c r="V239" s="423">
        <f t="shared" ca="1" si="97"/>
        <v>435526.38039500383</v>
      </c>
      <c r="W239" s="423">
        <f t="shared" ca="1" si="97"/>
        <v>3840262.9408351826</v>
      </c>
      <c r="X239" s="423">
        <f t="shared" ca="1" si="97"/>
        <v>217244.93821282857</v>
      </c>
      <c r="Y239" s="423">
        <f t="shared" ca="1" si="97"/>
        <v>108612.63510291005</v>
      </c>
      <c r="Z239" s="423">
        <f t="shared" ca="1" si="97"/>
        <v>43312.885034067054</v>
      </c>
      <c r="AA239" s="423">
        <f t="shared" ca="1" si="97"/>
        <v>216519.18875421581</v>
      </c>
      <c r="AB239" s="424">
        <f t="shared" ca="1" si="97"/>
        <v>559631.50461849093</v>
      </c>
    </row>
    <row r="240" spans="2:38" ht="15.75" thickBot="1">
      <c r="B240" s="377" t="s">
        <v>272</v>
      </c>
      <c r="C240" s="421" t="s">
        <v>124</v>
      </c>
      <c r="D240" s="428">
        <f ca="1">OFFSET(Tariff_SimCalculation!$O$28,,$C$181-rpm_start_year)</f>
        <v>0.11963250910516171</v>
      </c>
      <c r="E240" s="428">
        <f ca="1">OFFSET(Tariff_SimCalculation!$O$28,,$C$181-rpm_start_year)</f>
        <v>0.11963250910516171</v>
      </c>
      <c r="F240" s="428">
        <f ca="1">OFFSET(Tariff_SimCalculation!$O$28,,$C$181-rpm_start_year)</f>
        <v>0.11963250910516171</v>
      </c>
      <c r="G240" s="428">
        <f ca="1">OFFSET(Tariff_SimCalculation!$O$28,,$C$181-rpm_start_year)</f>
        <v>0.11963250910516171</v>
      </c>
      <c r="H240" s="428">
        <f ca="1">OFFSET(Tariff_SimCalculation!$O$28,,$C$181-rpm_start_year)</f>
        <v>0.11963250910516171</v>
      </c>
      <c r="I240" s="428">
        <f ca="1">OFFSET(Tariff_SimCalculation!$O$28,,$C$181-rpm_start_year)</f>
        <v>0.11963250910516171</v>
      </c>
      <c r="J240" s="428">
        <f ca="1">OFFSET(Tariff_SimCalculation!$O$28,,$C$181-rpm_start_year)</f>
        <v>0.11963250910516171</v>
      </c>
      <c r="K240" s="428">
        <f ca="1">OFFSET(Tariff_SimCalculation!$O$28,,$C$181-rpm_start_year)</f>
        <v>0.11963250910516171</v>
      </c>
      <c r="L240" s="428">
        <f ca="1">OFFSET(Tariff_SimCalculation!$O$28,,$C$181-rpm_start_year)</f>
        <v>0.11963250910516171</v>
      </c>
      <c r="M240" s="428">
        <f ca="1">OFFSET(Tariff_SimCalculation!$O$28,,$C$181-rpm_start_year)</f>
        <v>0.11963250910516171</v>
      </c>
      <c r="N240" s="428">
        <f ca="1">OFFSET(Tariff_SimCalculation!$O$28,,$C$181-rpm_start_year)</f>
        <v>0.11963250910516171</v>
      </c>
      <c r="O240" s="428">
        <f ca="1">OFFSET(Tariff_SimCalculation!$O$28,,$C$181-rpm_start_year)</f>
        <v>0.11963250910516171</v>
      </c>
      <c r="P240" s="428">
        <f ca="1">OFFSET(Tariff_SimCalculation!$O$28,,$C$181-rpm_start_year)</f>
        <v>0.11963250910516171</v>
      </c>
      <c r="Q240" s="428">
        <f ca="1">OFFSET(Tariff_SimCalculation!$O$28,,$C$181-rpm_start_year)</f>
        <v>0.11963250910516171</v>
      </c>
      <c r="R240" s="428">
        <f ca="1">OFFSET(Tariff_SimCalculation!$O$28,,$C$181-rpm_start_year)</f>
        <v>0.11963250910516171</v>
      </c>
      <c r="S240" s="428">
        <f ca="1">OFFSET(Tariff_SimCalculation!$O$28,,$C$181-rpm_start_year)</f>
        <v>0.11963250910516171</v>
      </c>
      <c r="T240" s="428">
        <f ca="1">OFFSET(Tariff_SimCalculation!$O$28,,$C$181-rpm_start_year)</f>
        <v>0.11963250910516171</v>
      </c>
      <c r="U240" s="428">
        <f ca="1">OFFSET(Tariff_SimCalculation!$O$28,,$C$181-rpm_start_year)</f>
        <v>0.11963250910516171</v>
      </c>
      <c r="V240" s="428">
        <f ca="1">OFFSET(Tariff_SimCalculation!$O$28,,$C$181-rpm_start_year)</f>
        <v>0.11963250910516171</v>
      </c>
      <c r="W240" s="428">
        <f ca="1">OFFSET(Tariff_SimCalculation!$O$28,,$C$181-rpm_start_year)</f>
        <v>0.11963250910516171</v>
      </c>
      <c r="X240" s="428">
        <f ca="1">OFFSET(Tariff_SimCalculation!$O$28,,$C$181-rpm_start_year)</f>
        <v>0.11963250910516171</v>
      </c>
      <c r="Y240" s="428">
        <f ca="1">OFFSET(Tariff_SimCalculation!$O$28,,$C$181-rpm_start_year)</f>
        <v>0.11963250910516171</v>
      </c>
      <c r="Z240" s="428">
        <f ca="1">OFFSET(Tariff_SimCalculation!$O$28,,$C$181-rpm_start_year)</f>
        <v>0.11963250910516171</v>
      </c>
      <c r="AA240" s="428">
        <f ca="1">OFFSET(Tariff_SimCalculation!$O$28,,$C$181-rpm_start_year)</f>
        <v>0.11963250910516171</v>
      </c>
      <c r="AB240" s="428">
        <f ca="1">OFFSET(Tariff_SimCalculation!$O$28,,$C$181-rpm_start_year)</f>
        <v>0.11963250910516171</v>
      </c>
    </row>
    <row r="241" spans="3:9">
      <c r="C241" s="42"/>
    </row>
    <row r="242" spans="3:9" ht="15.75" thickBot="1"/>
    <row r="243" spans="3:9">
      <c r="D243" s="386" t="s">
        <v>273</v>
      </c>
      <c r="E243" s="387">
        <f ca="1">SUMPRODUCT(AH225:AH234,AL225:AL234)</f>
        <v>1970520.7131354813</v>
      </c>
    </row>
    <row r="244" spans="3:9">
      <c r="D244" s="388" t="s">
        <v>274</v>
      </c>
      <c r="E244" s="389">
        <f ca="1">SUMPRODUCT(AI225:AI234,AL225:AL234)</f>
        <v>3334194.0368645177</v>
      </c>
    </row>
    <row r="245" spans="3:9">
      <c r="D245" s="388" t="s">
        <v>93</v>
      </c>
      <c r="E245" s="390">
        <f ca="1">SUMPRODUCT(D238:AB238*D240:AB240*(D223:AB223="Intra"))</f>
        <v>8539660.6425136775</v>
      </c>
    </row>
    <row r="246" spans="3:9" ht="15.75" thickBot="1">
      <c r="D246" s="391" t="s">
        <v>94</v>
      </c>
      <c r="E246" s="392">
        <f ca="1">SUMPRODUCT(D238:AB238*D240:AB240*(D223:AB223="Cross"))</f>
        <v>7374483.6074863216</v>
      </c>
    </row>
    <row r="247" spans="3:9">
      <c r="D247" s="393" t="s">
        <v>64</v>
      </c>
      <c r="E247" s="394">
        <f ca="1">E243+E245</f>
        <v>10510181.355649158</v>
      </c>
    </row>
    <row r="248" spans="3:9" ht="15.75" thickBot="1">
      <c r="D248" s="395" t="s">
        <v>65</v>
      </c>
      <c r="E248" s="396">
        <f ca="1">E244+E246</f>
        <v>10708677.64435084</v>
      </c>
      <c r="G248" s="63"/>
    </row>
    <row r="249" spans="3:9" ht="15.75" thickBot="1">
      <c r="D249" s="397"/>
      <c r="E249" s="398"/>
    </row>
    <row r="250" spans="3:9">
      <c r="D250" s="386" t="s">
        <v>66</v>
      </c>
      <c r="E250" s="399">
        <f ca="1">SUM(AJ225:AJ234)</f>
        <v>36431121.176999994</v>
      </c>
    </row>
    <row r="251" spans="3:9" ht="15.75" thickBot="1">
      <c r="D251" s="391" t="s">
        <v>67</v>
      </c>
      <c r="E251" s="400">
        <f ca="1">SUMPRODUCT(D239:AB239*(D223:AB223="Intra"))</f>
        <v>71382442</v>
      </c>
      <c r="I251" s="67"/>
    </row>
    <row r="252" spans="3:9" ht="15.75" thickBot="1">
      <c r="D252" s="401" t="s">
        <v>68</v>
      </c>
      <c r="E252" s="402">
        <f ca="1">E250+E251</f>
        <v>107813563.17699999</v>
      </c>
      <c r="G252" s="63"/>
    </row>
    <row r="253" spans="3:9">
      <c r="D253" s="403" t="s">
        <v>70</v>
      </c>
      <c r="E253" s="404">
        <f ca="1">SUM(AK225:AK234)</f>
        <v>61642806.479999989</v>
      </c>
    </row>
    <row r="254" spans="3:9" ht="15.75" thickBot="1">
      <c r="D254" s="391" t="s">
        <v>72</v>
      </c>
      <c r="E254" s="400">
        <f ca="1">SUMPRODUCT(D239:AB239*(D223:AB223="Cross"))</f>
        <v>61642806.479999997</v>
      </c>
    </row>
    <row r="255" spans="3:9" ht="15.75" thickBot="1">
      <c r="D255" s="401" t="s">
        <v>73</v>
      </c>
      <c r="E255" s="402">
        <f ca="1">E253+E254</f>
        <v>123285612.95999998</v>
      </c>
    </row>
    <row r="256" spans="3:9">
      <c r="D256" s="5"/>
      <c r="E256" s="5"/>
      <c r="F256" s="5"/>
    </row>
    <row r="257" spans="4:6" ht="15.75" thickBot="1">
      <c r="D257" s="5"/>
      <c r="E257" s="5"/>
      <c r="F257" s="5"/>
    </row>
    <row r="258" spans="4:6" ht="15.75" thickBot="1">
      <c r="D258" s="5"/>
      <c r="E258" s="405" t="s">
        <v>74</v>
      </c>
      <c r="F258" s="5"/>
    </row>
    <row r="259" spans="4:6">
      <c r="D259" s="406" t="s">
        <v>69</v>
      </c>
      <c r="E259" s="430">
        <f ca="1">E247/E252*1000</f>
        <v>97.484778778662147</v>
      </c>
      <c r="F259" s="5"/>
    </row>
    <row r="260" spans="4:6">
      <c r="D260" s="407" t="s">
        <v>71</v>
      </c>
      <c r="E260" s="431">
        <f ca="1">E248/E255*1000</f>
        <v>86.860724355771112</v>
      </c>
    </row>
    <row r="261" spans="4:6" ht="15.75" thickBot="1">
      <c r="D261" s="408" t="s">
        <v>275</v>
      </c>
      <c r="E261" s="409">
        <f ca="1">2*(ABS(E259-E260))/(E259+E260)</f>
        <v>0.11526242020824867</v>
      </c>
    </row>
    <row r="262" spans="4:6" ht="30">
      <c r="E262" s="410" t="str">
        <f ca="1">IF(E261&lt;0.1,"justification not required","justification required!")</f>
        <v>justification required!</v>
      </c>
    </row>
    <row r="273" spans="8:9">
      <c r="H273"/>
      <c r="I273"/>
    </row>
    <row r="274" spans="8:9">
      <c r="H274"/>
      <c r="I274"/>
    </row>
    <row r="275" spans="8:9">
      <c r="H275"/>
      <c r="I275"/>
    </row>
    <row r="276" spans="8:9">
      <c r="H276"/>
      <c r="I276"/>
    </row>
    <row r="277" spans="8:9">
      <c r="H277"/>
      <c r="I277"/>
    </row>
    <row r="278" spans="8:9">
      <c r="H278"/>
      <c r="I278"/>
    </row>
    <row r="279" spans="8:9">
      <c r="H279"/>
      <c r="I279"/>
    </row>
    <row r="280" spans="8:9">
      <c r="H280"/>
      <c r="I280"/>
    </row>
    <row r="281" spans="8:9">
      <c r="H281"/>
      <c r="I281"/>
    </row>
    <row r="282" spans="8:9">
      <c r="H282"/>
      <c r="I282"/>
    </row>
  </sheetData>
  <mergeCells count="1">
    <mergeCell ref="J175:K175"/>
  </mergeCells>
  <conditionalFormatting sqref="A56:A80">
    <cfRule type="cellIs" dxfId="35" priority="35" operator="equal">
      <formula>1</formula>
    </cfRule>
  </conditionalFormatting>
  <conditionalFormatting sqref="B128:B129">
    <cfRule type="cellIs" dxfId="34" priority="19" operator="equal">
      <formula>0</formula>
    </cfRule>
  </conditionalFormatting>
  <conditionalFormatting sqref="B141">
    <cfRule type="cellIs" dxfId="33" priority="11" operator="equal">
      <formula>0</formula>
    </cfRule>
  </conditionalFormatting>
  <conditionalFormatting sqref="B145:B156">
    <cfRule type="cellIs" dxfId="32" priority="12" operator="equal">
      <formula>0</formula>
    </cfRule>
  </conditionalFormatting>
  <conditionalFormatting sqref="C1">
    <cfRule type="cellIs" dxfId="31" priority="36" operator="equal">
      <formula>"OK"</formula>
    </cfRule>
  </conditionalFormatting>
  <conditionalFormatting sqref="D128:D129">
    <cfRule type="cellIs" dxfId="30" priority="28" operator="equal">
      <formula>0</formula>
    </cfRule>
  </conditionalFormatting>
  <conditionalFormatting sqref="D132:D133">
    <cfRule type="cellIs" dxfId="29" priority="25" operator="equal">
      <formula>0</formula>
    </cfRule>
  </conditionalFormatting>
  <conditionalFormatting sqref="D217:D219">
    <cfRule type="dataBar" priority="1">
      <dataBar>
        <cfvo type="min"/>
        <cfvo type="max"/>
        <color rgb="FF638EC6"/>
      </dataBar>
      <extLst>
        <ext xmlns:x14="http://schemas.microsoft.com/office/spreadsheetml/2009/9/main" uri="{B025F937-C7B1-47D3-B67F-A62EFF666E3E}">
          <x14:id>{DB59B58D-3B71-4816-B19D-F179C658FCC4}</x14:id>
        </ext>
      </extLst>
    </cfRule>
  </conditionalFormatting>
  <conditionalFormatting sqref="D236:AB237">
    <cfRule type="dataBar" priority="7">
      <dataBar>
        <cfvo type="min"/>
        <cfvo type="max"/>
        <color rgb="FF638EC6"/>
      </dataBar>
      <extLst>
        <ext xmlns:x14="http://schemas.microsoft.com/office/spreadsheetml/2009/9/main" uri="{B025F937-C7B1-47D3-B67F-A62EFF666E3E}">
          <x14:id>{9D2ECA5F-9E38-4977-AA9E-696662615C0B}</x14:id>
        </ext>
      </extLst>
    </cfRule>
  </conditionalFormatting>
  <conditionalFormatting sqref="D107:AC118 AS108:AT108 D123:D126">
    <cfRule type="cellIs" dxfId="28" priority="33" operator="equal">
      <formula>0</formula>
    </cfRule>
  </conditionalFormatting>
  <conditionalFormatting sqref="D143:AE143 D144:AC154">
    <cfRule type="cellIs" dxfId="27" priority="15" operator="equal">
      <formula>0</formula>
    </cfRule>
  </conditionalFormatting>
  <conditionalFormatting sqref="D224:AL224">
    <cfRule type="cellIs" dxfId="26" priority="9" operator="equal">
      <formula>0</formula>
    </cfRule>
  </conditionalFormatting>
  <conditionalFormatting sqref="E126:F126">
    <cfRule type="cellIs" dxfId="25" priority="18" operator="equal">
      <formula>0</formula>
    </cfRule>
  </conditionalFormatting>
  <conditionalFormatting sqref="E129:M129 Z129:AC129">
    <cfRule type="cellIs" dxfId="24" priority="27" operator="equal">
      <formula>0</formula>
    </cfRule>
  </conditionalFormatting>
  <conditionalFormatting sqref="E119:AC120">
    <cfRule type="cellIs" dxfId="23" priority="32" operator="equal">
      <formula>0</formula>
    </cfRule>
  </conditionalFormatting>
  <conditionalFormatting sqref="E124:AC124">
    <cfRule type="cellIs" dxfId="22" priority="29" operator="equal">
      <formula>0</formula>
    </cfRule>
  </conditionalFormatting>
  <conditionalFormatting sqref="E133:AC133">
    <cfRule type="cellIs" dxfId="21" priority="24" operator="equal">
      <formula>0</formula>
    </cfRule>
  </conditionalFormatting>
  <conditionalFormatting sqref="E155:AC156">
    <cfRule type="cellIs" dxfId="20" priority="14" operator="equal">
      <formula>0</formula>
    </cfRule>
  </conditionalFormatting>
  <conditionalFormatting sqref="G40">
    <cfRule type="cellIs" dxfId="19" priority="10" operator="equal">
      <formula>FALSE</formula>
    </cfRule>
  </conditionalFormatting>
  <conditionalFormatting sqref="L126:M126">
    <cfRule type="cellIs" dxfId="18" priority="17" operator="equal">
      <formula>0</formula>
    </cfRule>
  </conditionalFormatting>
  <conditionalFormatting sqref="N135:AB135 N136:AC138">
    <cfRule type="cellIs" dxfId="17" priority="40" operator="equal">
      <formula>0</formula>
    </cfRule>
  </conditionalFormatting>
  <conditionalFormatting sqref="O53:O79 P67:R68">
    <cfRule type="expression" dxfId="16" priority="6">
      <formula>$O53&lt;$M53</formula>
    </cfRule>
  </conditionalFormatting>
  <conditionalFormatting sqref="P68">
    <cfRule type="expression" dxfId="15" priority="4">
      <formula>$O68&lt;$M68</formula>
    </cfRule>
  </conditionalFormatting>
  <conditionalFormatting sqref="T135:U138">
    <cfRule type="cellIs" dxfId="14" priority="41" operator="equal">
      <formula>0</formula>
    </cfRule>
  </conditionalFormatting>
  <conditionalFormatting sqref="V7:V28">
    <cfRule type="dataBar" priority="43">
      <dataBar>
        <cfvo type="min"/>
        <cfvo type="max"/>
        <color theme="9"/>
      </dataBar>
      <extLst>
        <ext xmlns:x14="http://schemas.microsoft.com/office/spreadsheetml/2009/9/main" uri="{B025F937-C7B1-47D3-B67F-A62EFF666E3E}">
          <x14:id>{FD6CDCA5-7A4C-4D93-807A-85ED0218D097}</x14:id>
        </ext>
      </extLst>
    </cfRule>
  </conditionalFormatting>
  <conditionalFormatting sqref="V37:V42">
    <cfRule type="dataBar" priority="42">
      <dataBar>
        <cfvo type="min"/>
        <cfvo type="max"/>
        <color theme="9"/>
      </dataBar>
      <extLst>
        <ext xmlns:x14="http://schemas.microsoft.com/office/spreadsheetml/2009/9/main" uri="{B025F937-C7B1-47D3-B67F-A62EFF666E3E}">
          <x14:id>{80677792-FFFF-476E-BEE6-6923FDBE865D}</x14:id>
        </ext>
      </extLst>
    </cfRule>
  </conditionalFormatting>
  <conditionalFormatting sqref="Z126:AC126">
    <cfRule type="cellIs" dxfId="13" priority="16" operator="equal">
      <formula>0</formula>
    </cfRule>
  </conditionalFormatting>
  <conditionalFormatting sqref="AD109:AE118">
    <cfRule type="cellIs" dxfId="12" priority="31" operator="equal">
      <formula>0</formula>
    </cfRule>
  </conditionalFormatting>
  <conditionalFormatting sqref="AD145:AE154">
    <cfRule type="cellIs" dxfId="11" priority="13" operator="equal">
      <formula>0</formula>
    </cfRule>
  </conditionalFormatting>
  <conditionalFormatting sqref="AD134:AI138">
    <cfRule type="cellIs" dxfId="10" priority="37" operator="equal">
      <formula>0</formula>
    </cfRule>
  </conditionalFormatting>
  <conditionalFormatting sqref="AE225:AF235">
    <cfRule type="dataBar" priority="8">
      <dataBar>
        <cfvo type="min"/>
        <cfvo type="max"/>
        <color rgb="FF638EC6"/>
      </dataBar>
      <extLst>
        <ext xmlns:x14="http://schemas.microsoft.com/office/spreadsheetml/2009/9/main" uri="{B025F937-C7B1-47D3-B67F-A62EFF666E3E}">
          <x14:id>{3355BE18-FDB1-41A3-8CB2-1664E8B4A9E9}</x14:id>
        </ext>
      </extLst>
    </cfRule>
  </conditionalFormatting>
  <conditionalFormatting sqref="AG104">
    <cfRule type="cellIs" dxfId="9" priority="5" operator="equal">
      <formula>0</formula>
    </cfRule>
  </conditionalFormatting>
  <conditionalFormatting sqref="AI109:AI118">
    <cfRule type="cellIs" dxfId="8" priority="30" operator="equal">
      <formula>0</formula>
    </cfRule>
  </conditionalFormatting>
  <conditionalFormatting sqref="AJ135:AK135 AJ138:AK138">
    <cfRule type="cellIs" dxfId="7" priority="39" operator="equal">
      <formula>0</formula>
    </cfRule>
  </conditionalFormatting>
  <conditionalFormatting sqref="AK108:AL108">
    <cfRule type="cellIs" dxfId="6" priority="22" operator="equal">
      <formula>0</formula>
    </cfRule>
  </conditionalFormatting>
  <conditionalFormatting sqref="AL109:AL118">
    <cfRule type="cellIs" dxfId="5" priority="21" operator="equal">
      <formula>0</formula>
    </cfRule>
  </conditionalFormatting>
  <conditionalFormatting sqref="AL134:AL138">
    <cfRule type="cellIs" dxfId="4" priority="34" operator="equal">
      <formula>0</formula>
    </cfRule>
  </conditionalFormatting>
  <conditionalFormatting sqref="AM134:AM135">
    <cfRule type="cellIs" dxfId="3" priority="38" operator="equal">
      <formula>0</formula>
    </cfRule>
  </conditionalFormatting>
  <conditionalFormatting sqref="AO108:AP108">
    <cfRule type="cellIs" dxfId="2" priority="26" operator="equal">
      <formula>0</formula>
    </cfRule>
  </conditionalFormatting>
  <conditionalFormatting sqref="AP109:AP118">
    <cfRule type="cellIs" dxfId="1" priority="20" operator="equal">
      <formula>0</formula>
    </cfRule>
  </conditionalFormatting>
  <conditionalFormatting sqref="AT109:AT118">
    <cfRule type="cellIs" dxfId="0" priority="23" operator="equal">
      <formula>0</formula>
    </cfRule>
  </conditionalFormatting>
  <conditionalFormatting sqref="AZ109:BX118">
    <cfRule type="colorScale" priority="3">
      <colorScale>
        <cfvo type="min"/>
        <cfvo type="max"/>
        <color rgb="FFFCFCFF"/>
        <color rgb="FF63BE7B"/>
      </colorScale>
    </cfRule>
  </conditionalFormatting>
  <dataValidations disablePrompts="1" count="1">
    <dataValidation type="list" allowBlank="1" showInputMessage="1" showErrorMessage="1" sqref="C223 C143" xr:uid="{0AD7FF02-A8A5-418F-935C-4C948F6A0060}">
      <formula1>#REF!</formula1>
    </dataValidation>
  </dataValidations>
  <pageMargins left="0.7" right="0.7" top="0.78740157499999996" bottom="0.78740157499999996"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dataBar" id="{DB59B58D-3B71-4816-B19D-F179C658FCC4}">
            <x14:dataBar minLength="0" maxLength="100" gradient="0">
              <x14:cfvo type="autoMin"/>
              <x14:cfvo type="autoMax"/>
              <x14:negativeFillColor rgb="FFFF0000"/>
              <x14:axisColor rgb="FF000000"/>
            </x14:dataBar>
          </x14:cfRule>
          <xm:sqref>D217:D219</xm:sqref>
        </x14:conditionalFormatting>
        <x14:conditionalFormatting xmlns:xm="http://schemas.microsoft.com/office/excel/2006/main">
          <x14:cfRule type="dataBar" id="{9D2ECA5F-9E38-4977-AA9E-696662615C0B}">
            <x14:dataBar minLength="0" maxLength="100" gradient="0">
              <x14:cfvo type="autoMin"/>
              <x14:cfvo type="autoMax"/>
              <x14:negativeFillColor rgb="FFFF0000"/>
              <x14:axisColor rgb="FF000000"/>
            </x14:dataBar>
          </x14:cfRule>
          <xm:sqref>D236:AB237</xm:sqref>
        </x14:conditionalFormatting>
        <x14:conditionalFormatting xmlns:xm="http://schemas.microsoft.com/office/excel/2006/main">
          <x14:cfRule type="dataBar" id="{FD6CDCA5-7A4C-4D93-807A-85ED0218D097}">
            <x14:dataBar minLength="0" maxLength="100" gradient="0" direction="leftToRight">
              <x14:cfvo type="autoMin"/>
              <x14:cfvo type="autoMax"/>
              <x14:negativeFillColor rgb="FFFF0000"/>
              <x14:axisColor rgb="FF000000"/>
            </x14:dataBar>
          </x14:cfRule>
          <xm:sqref>V7:V28</xm:sqref>
        </x14:conditionalFormatting>
        <x14:conditionalFormatting xmlns:xm="http://schemas.microsoft.com/office/excel/2006/main">
          <x14:cfRule type="dataBar" id="{80677792-FFFF-476E-BEE6-6923FDBE865D}">
            <x14:dataBar minLength="0" maxLength="100" gradient="0" direction="leftToRight">
              <x14:cfvo type="autoMin"/>
              <x14:cfvo type="autoMax"/>
              <x14:negativeFillColor rgb="FFFF0000"/>
              <x14:axisColor rgb="FF000000"/>
            </x14:dataBar>
          </x14:cfRule>
          <xm:sqref>V37:V42</xm:sqref>
        </x14:conditionalFormatting>
        <x14:conditionalFormatting xmlns:xm="http://schemas.microsoft.com/office/excel/2006/main">
          <x14:cfRule type="dataBar" id="{3355BE18-FDB1-41A3-8CB2-1664E8B4A9E9}">
            <x14:dataBar minLength="0" maxLength="100" gradient="0">
              <x14:cfvo type="autoMin"/>
              <x14:cfvo type="autoMax"/>
              <x14:negativeFillColor rgb="FFFF0000"/>
              <x14:axisColor rgb="FF000000"/>
            </x14:dataBar>
          </x14:cfRule>
          <xm:sqref>AE225:AF235</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4FCABAF349658448EDDA96698D8195A" ma:contentTypeVersion="16" ma:contentTypeDescription="Create a new document." ma:contentTypeScope="" ma:versionID="4f3b8272de5429afcee505a5f62e402f">
  <xsd:schema xmlns:xsd="http://www.w3.org/2001/XMLSchema" xmlns:xs="http://www.w3.org/2001/XMLSchema" xmlns:p="http://schemas.microsoft.com/office/2006/metadata/properties" xmlns:ns2="d8da67f0-e54c-4303-bf23-5e9c6b8c6618" xmlns:ns3="95deca28-6d4b-4be0-9ef8-83e007844c68" targetNamespace="http://schemas.microsoft.com/office/2006/metadata/properties" ma:root="true" ma:fieldsID="a7f2c189c1ac1c06729bc2b07896e45b" ns2:_="" ns3:_="">
    <xsd:import namespace="d8da67f0-e54c-4303-bf23-5e9c6b8c6618"/>
    <xsd:import namespace="95deca28-6d4b-4be0-9ef8-83e007844c6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OCR" minOccurs="0"/>
                <xsd:element ref="ns2:lcf76f155ced4ddcb4097134ff3c332f" minOccurs="0"/>
                <xsd:element ref="ns3:TaxCatchAll" minOccurs="0"/>
                <xsd:element ref="ns2:MediaServiceDateTaken" minOccurs="0"/>
                <xsd:element ref="ns2:MediaLengthInSeconds"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da67f0-e54c-4303-bf23-5e9c6b8c66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bd4b1000-6231-4c87-9795-f89bd74ad1d9"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ternalName="MediaServiceLocation" ma:readOnly="true">
      <xsd:simpleType>
        <xsd:restriction base="dms:Text"/>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5deca28-6d4b-4be0-9ef8-83e007844c68"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9921e65-cb9c-4bcd-af06-c5dd81a28c19}" ma:internalName="TaxCatchAll" ma:showField="CatchAllData" ma:web="95deca28-6d4b-4be0-9ef8-83e007844c6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95deca28-6d4b-4be0-9ef8-83e007844c68" xsi:nil="true"/>
    <lcf76f155ced4ddcb4097134ff3c332f xmlns="d8da67f0-e54c-4303-bf23-5e9c6b8c661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0B35EBF-59E8-40EB-96E1-86E301E9BD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da67f0-e54c-4303-bf23-5e9c6b8c6618"/>
    <ds:schemaRef ds:uri="95deca28-6d4b-4be0-9ef8-83e007844c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44DF334-567D-4CF2-A61E-1A0A79119F14}">
  <ds:schemaRefs>
    <ds:schemaRef ds:uri="http://schemas.microsoft.com/sharepoint/v3/contenttype/forms"/>
  </ds:schemaRefs>
</ds:datastoreItem>
</file>

<file path=customXml/itemProps3.xml><?xml version="1.0" encoding="utf-8"?>
<ds:datastoreItem xmlns:ds="http://schemas.openxmlformats.org/officeDocument/2006/customXml" ds:itemID="{42DE1D01-01D4-40B5-AF4B-C27457A798AA}">
  <ds:schemaRefs>
    <ds:schemaRef ds:uri="http://purl.org/dc/dcmitype/"/>
    <ds:schemaRef ds:uri="http://schemas.microsoft.com/office/2006/metadata/properties"/>
    <ds:schemaRef ds:uri="http://schemas.microsoft.com/office/infopath/2007/PartnerControls"/>
    <ds:schemaRef ds:uri="d8da67f0-e54c-4303-bf23-5e9c6b8c6618"/>
    <ds:schemaRef ds:uri="http://purl.org/dc/terms/"/>
    <ds:schemaRef ds:uri="http://www.w3.org/XML/1998/namespace"/>
    <ds:schemaRef ds:uri="http://purl.org/dc/elements/1.1/"/>
    <ds:schemaRef ds:uri="http://schemas.microsoft.com/office/2006/documentManagement/types"/>
    <ds:schemaRef ds:uri="http://schemas.openxmlformats.org/package/2006/metadata/core-properties"/>
    <ds:schemaRef ds:uri="95deca28-6d4b-4be0-9ef8-83e007844c68"/>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19</vt:i4>
      </vt:variant>
    </vt:vector>
  </HeadingPairs>
  <TitlesOfParts>
    <vt:vector size="24" baseType="lpstr">
      <vt:lpstr>Tariff simulation</vt:lpstr>
      <vt:lpstr>Tariff_SimCalculation</vt:lpstr>
      <vt:lpstr>CWD 2025_V1</vt:lpstr>
      <vt:lpstr>CWD 2026_V1</vt:lpstr>
      <vt:lpstr>CWD 2027_V1</vt:lpstr>
      <vt:lpstr>'CWD 2025_V1'!costs_GCA_capa</vt:lpstr>
      <vt:lpstr>'CWD 2026_V1'!costs_GCA_capa</vt:lpstr>
      <vt:lpstr>'CWD 2027_V1'!costs_GCA_capa</vt:lpstr>
      <vt:lpstr>'CWD 2025_V1'!costs_TAG_capa</vt:lpstr>
      <vt:lpstr>'CWD 2026_V1'!costs_TAG_capa</vt:lpstr>
      <vt:lpstr>'CWD 2027_V1'!costs_TAG_capa</vt:lpstr>
      <vt:lpstr>'CWD 2025_V1'!discount_DZK</vt:lpstr>
      <vt:lpstr>'CWD 2026_V1'!discount_DZK</vt:lpstr>
      <vt:lpstr>'CWD 2027_V1'!discount_DZK</vt:lpstr>
      <vt:lpstr>'CWD 2025_V1'!discount_storage_entry</vt:lpstr>
      <vt:lpstr>'CWD 2026_V1'!discount_storage_entry</vt:lpstr>
      <vt:lpstr>'CWD 2027_V1'!discount_storage_entry</vt:lpstr>
      <vt:lpstr>'CWD 2025_V1'!discount_storage_exit</vt:lpstr>
      <vt:lpstr>'CWD 2026_V1'!discount_storage_exit</vt:lpstr>
      <vt:lpstr>'CWD 2027_V1'!discount_storage_exit</vt:lpstr>
      <vt:lpstr>rpm_start_year</vt:lpstr>
      <vt:lpstr>tariff_2025</vt:lpstr>
      <vt:lpstr>tariff_2026</vt:lpstr>
      <vt:lpstr>tariff_2027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Georg Fischer</dc:creator>
  <cp:lastModifiedBy>Pützl Florian</cp:lastModifiedBy>
  <cp:lastPrinted>2019-10-21T08:36:33Z</cp:lastPrinted>
  <dcterms:created xsi:type="dcterms:W3CDTF">2018-10-09T15:02:03Z</dcterms:created>
  <dcterms:modified xsi:type="dcterms:W3CDTF">2025-05-26T14:43:50Z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0x01010054FCABAF349658448EDDA96698D8195A</vt:lpwstr>
  </property>
  <property fmtid="{D5CDD505-2E9C-101B-9397-08002B2CF9AE}" pid="3" name="MediaServiceImageTags">
    <vt:lpwstr/>
  </property>
</Properties>
</file>